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1105"/>
  <workbookPr autoCompressPictures="0"/>
  <bookViews>
    <workbookView xWindow="1540" yWindow="0" windowWidth="19440" windowHeight="12240" tabRatio="792" activeTab="1"/>
  </bookViews>
  <sheets>
    <sheet name="Title Page" sheetId="2" r:id="rId1"/>
    <sheet name="2010 ADTI" sheetId="1" r:id="rId2"/>
    <sheet name="2010 ADTI details" sheetId="5" r:id="rId3"/>
    <sheet name="2009 ADTI details" sheetId="6" r:id="rId4"/>
    <sheet name="ADTI Change 2010-2009" sheetId="7" r:id="rId5"/>
    <sheet name="Pillar Framework" sheetId="3" r:id="rId6"/>
    <sheet name="Experts Profiles" sheetId="4" r:id="rId7"/>
  </sheets>
  <definedNames>
    <definedName name="_xlnm._FilterDatabase" localSheetId="3" hidden="1">'2009 ADTI details'!$A$1:$Y$197</definedName>
    <definedName name="_xlnm._FilterDatabase" localSheetId="2" hidden="1">'2010 ADTI details'!$A$1:$Y$197</definedName>
    <definedName name="_xlnm._FilterDatabase" localSheetId="4" hidden="1">'ADTI Change 2010-2009'!$A$1:$Y$197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Y192" i="6" l="1"/>
  <c r="Y193" i="6"/>
  <c r="Y194" i="6"/>
  <c r="Y195" i="6"/>
  <c r="Y196" i="6"/>
  <c r="Y197" i="6"/>
  <c r="Y186" i="6"/>
  <c r="Y187" i="6"/>
  <c r="Y188" i="6"/>
  <c r="Y189" i="6"/>
  <c r="Y190" i="6"/>
  <c r="Y191" i="6"/>
  <c r="Y30" i="6"/>
  <c r="Y185" i="6"/>
  <c r="Y184" i="6"/>
  <c r="Y183" i="6"/>
  <c r="Y182" i="6"/>
  <c r="Y181" i="6"/>
  <c r="Y29" i="6"/>
  <c r="Y180" i="6"/>
  <c r="Y179" i="6"/>
  <c r="Y178" i="6"/>
  <c r="Y177" i="6"/>
  <c r="Y176" i="6"/>
  <c r="Y175" i="6"/>
  <c r="Y174" i="6"/>
  <c r="Y173" i="6"/>
  <c r="Y172" i="6"/>
  <c r="Y171" i="6"/>
  <c r="Y170" i="6"/>
  <c r="Y169" i="6"/>
  <c r="Y168" i="6"/>
  <c r="Y167" i="6"/>
  <c r="Y166" i="6"/>
  <c r="Y165" i="6"/>
  <c r="Y164" i="6"/>
  <c r="Y28" i="6"/>
  <c r="Y163" i="6"/>
  <c r="Y162" i="6"/>
  <c r="Y161" i="6"/>
  <c r="Y160" i="6"/>
  <c r="Y159" i="6"/>
  <c r="Y158" i="6"/>
  <c r="Y157" i="6"/>
  <c r="Y156" i="6"/>
  <c r="Y155" i="6"/>
  <c r="Y154" i="6"/>
  <c r="Y153" i="6"/>
  <c r="Y152" i="6"/>
  <c r="Y151" i="6"/>
  <c r="Y150" i="6"/>
  <c r="Y149" i="6"/>
  <c r="Y148" i="6"/>
  <c r="Y147" i="6"/>
  <c r="Y146" i="6"/>
  <c r="Y145" i="6"/>
  <c r="Y27" i="6"/>
  <c r="Y144" i="6"/>
  <c r="Y143" i="6"/>
  <c r="Y142" i="6"/>
  <c r="Y141" i="6"/>
  <c r="Y140" i="6"/>
  <c r="Y139" i="6"/>
  <c r="Y138" i="6"/>
  <c r="Y137" i="6"/>
  <c r="Y136" i="6"/>
  <c r="Y26" i="6"/>
  <c r="Y135" i="6"/>
  <c r="Y25" i="6"/>
  <c r="Y24" i="6"/>
  <c r="Y134" i="6"/>
  <c r="Y133" i="6"/>
  <c r="Y132" i="6"/>
  <c r="Y131" i="6"/>
  <c r="Y130" i="6"/>
  <c r="Y129" i="6"/>
  <c r="Y128" i="6"/>
  <c r="Y127" i="6"/>
  <c r="Y126" i="6"/>
  <c r="Y125" i="6"/>
  <c r="Y124" i="6"/>
  <c r="Y123" i="6"/>
  <c r="Y23" i="6"/>
  <c r="Y122" i="6"/>
  <c r="Y121" i="6"/>
  <c r="Y120" i="6"/>
  <c r="Y119" i="6"/>
  <c r="Y118" i="6"/>
  <c r="Y117" i="6"/>
  <c r="Y22" i="6"/>
  <c r="Y116" i="6"/>
  <c r="Y115" i="6"/>
  <c r="Y21" i="6"/>
  <c r="Y114" i="6"/>
  <c r="Y113" i="6"/>
  <c r="Y112" i="6"/>
  <c r="Y20" i="6"/>
  <c r="Y111" i="6"/>
  <c r="Y110" i="6"/>
  <c r="Y109" i="6"/>
  <c r="Y108" i="6"/>
  <c r="Y107" i="6"/>
  <c r="Y106" i="6"/>
  <c r="Y105" i="6"/>
  <c r="Y104" i="6"/>
  <c r="Y103" i="6"/>
  <c r="Y102" i="6"/>
  <c r="Y101" i="6"/>
  <c r="Y100" i="6"/>
  <c r="Y99" i="6"/>
  <c r="Y19" i="6"/>
  <c r="Y98" i="6"/>
  <c r="Y97" i="6"/>
  <c r="Y18" i="6"/>
  <c r="Y96" i="6"/>
  <c r="Y17" i="6"/>
  <c r="Y95" i="6"/>
  <c r="Y94" i="6"/>
  <c r="Y16" i="6"/>
  <c r="Y93" i="6"/>
  <c r="Y92" i="6"/>
  <c r="Y91" i="6"/>
  <c r="Y90" i="6"/>
  <c r="Y89" i="6"/>
  <c r="Y88" i="6"/>
  <c r="Y87" i="6"/>
  <c r="Y86" i="6"/>
  <c r="Y85" i="6"/>
  <c r="Y15" i="6"/>
  <c r="Y84" i="6"/>
  <c r="Y83" i="6"/>
  <c r="Y82" i="6"/>
  <c r="Y81" i="6"/>
  <c r="Y80" i="6"/>
  <c r="Y79" i="6"/>
  <c r="Y14" i="6"/>
  <c r="Y78" i="6"/>
  <c r="Y77" i="6"/>
  <c r="Y13" i="6"/>
  <c r="Y76" i="6"/>
  <c r="Y12" i="6"/>
  <c r="Y75" i="6"/>
  <c r="Y74" i="6"/>
  <c r="Y11" i="6"/>
  <c r="Y73" i="6"/>
  <c r="Y72" i="6"/>
  <c r="Y71" i="6"/>
  <c r="Y70" i="6"/>
  <c r="Y69" i="6"/>
  <c r="Y10" i="6"/>
  <c r="Y68" i="6"/>
  <c r="Y67" i="6"/>
  <c r="Y9" i="6"/>
  <c r="Y66" i="6"/>
  <c r="Y8" i="6"/>
  <c r="Y65" i="6"/>
  <c r="Y64" i="6"/>
  <c r="Y63" i="6"/>
  <c r="Y62" i="6"/>
  <c r="Y61" i="6"/>
  <c r="Y60" i="6"/>
  <c r="Y59" i="6"/>
  <c r="Y58" i="6"/>
  <c r="Y57" i="6"/>
  <c r="Y56" i="6"/>
  <c r="Y55" i="6"/>
  <c r="Y7" i="6"/>
  <c r="Y6" i="6"/>
  <c r="Y54" i="6"/>
  <c r="Y53" i="6"/>
  <c r="Y52" i="6"/>
  <c r="Y51" i="6"/>
  <c r="Y50" i="6"/>
  <c r="Y49" i="6"/>
  <c r="Y48" i="6"/>
  <c r="Y47" i="6"/>
  <c r="Y46" i="6"/>
  <c r="Y45" i="6"/>
  <c r="Y44" i="6"/>
  <c r="Y43" i="6"/>
  <c r="Y42" i="6"/>
  <c r="Y41" i="6"/>
  <c r="Y40" i="6"/>
  <c r="Y39" i="6"/>
  <c r="Y5" i="6"/>
  <c r="Y38" i="6"/>
  <c r="Y37" i="6"/>
  <c r="Y4" i="6"/>
  <c r="Y3" i="6"/>
  <c r="Y36" i="6"/>
  <c r="Y35" i="6"/>
  <c r="Y34" i="6"/>
  <c r="Y33" i="6"/>
  <c r="Y2" i="6"/>
  <c r="Y32" i="6"/>
  <c r="Y31" i="6"/>
  <c r="E40" i="1"/>
  <c r="E39" i="1"/>
  <c r="E42" i="1"/>
  <c r="E41" i="1"/>
  <c r="O220" i="1"/>
  <c r="O219" i="1"/>
  <c r="B51" i="1"/>
  <c r="B52" i="1"/>
  <c r="B53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85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149" i="1"/>
  <c r="B150" i="1"/>
  <c r="B151" i="1"/>
  <c r="B152" i="1"/>
  <c r="B153" i="1"/>
  <c r="B154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86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181" i="1"/>
  <c r="L182" i="1"/>
  <c r="L183" i="1"/>
  <c r="L184" i="1"/>
  <c r="L185" i="1"/>
  <c r="L186" i="1"/>
  <c r="L187" i="1"/>
  <c r="L188" i="1"/>
  <c r="L189" i="1"/>
  <c r="L190" i="1"/>
  <c r="L191" i="1"/>
  <c r="L192" i="1"/>
  <c r="L193" i="1"/>
  <c r="L194" i="1"/>
  <c r="L195" i="1"/>
  <c r="L196" i="1"/>
  <c r="L197" i="1"/>
  <c r="L198" i="1"/>
  <c r="L199" i="1"/>
  <c r="L200" i="1"/>
  <c r="L201" i="1"/>
  <c r="L202" i="1"/>
  <c r="L203" i="1"/>
  <c r="L204" i="1"/>
  <c r="L205" i="1"/>
  <c r="L206" i="1"/>
  <c r="L207" i="1"/>
  <c r="L208" i="1"/>
  <c r="L209" i="1"/>
  <c r="L210" i="1"/>
  <c r="L211" i="1"/>
  <c r="L212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J220" i="1"/>
  <c r="J219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O40" i="1"/>
  <c r="J40" i="1"/>
  <c r="O39" i="1"/>
  <c r="J39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J41" i="1"/>
  <c r="O221" i="1"/>
  <c r="O222" i="1"/>
  <c r="O41" i="1"/>
  <c r="J42" i="1"/>
  <c r="O42" i="1"/>
  <c r="J221" i="1"/>
  <c r="J222" i="1"/>
  <c r="Y193" i="5"/>
  <c r="Y194" i="5"/>
  <c r="Y195" i="5"/>
  <c r="Y196" i="5"/>
  <c r="Y197" i="5"/>
  <c r="Y192" i="5"/>
  <c r="Y191" i="5"/>
  <c r="Y190" i="5"/>
  <c r="Y189" i="5"/>
  <c r="Y188" i="5"/>
  <c r="Y187" i="5"/>
  <c r="Y186" i="5"/>
  <c r="Y185" i="5"/>
  <c r="Y184" i="5"/>
  <c r="Y183" i="5"/>
  <c r="Y182" i="5"/>
  <c r="Y181" i="5"/>
  <c r="Y180" i="5"/>
  <c r="Y179" i="5"/>
  <c r="Y178" i="5"/>
  <c r="Y177" i="5"/>
  <c r="Y176" i="5"/>
  <c r="Y175" i="5"/>
  <c r="Y174" i="5"/>
  <c r="Y173" i="5"/>
  <c r="Y172" i="5"/>
  <c r="Y171" i="5"/>
  <c r="Y170" i="5"/>
  <c r="Y169" i="5"/>
  <c r="Y168" i="5"/>
  <c r="Y167" i="5"/>
  <c r="Y166" i="5"/>
  <c r="Y165" i="5"/>
  <c r="Y164" i="5"/>
  <c r="Y163" i="5"/>
  <c r="Y162" i="5"/>
  <c r="Y161" i="5"/>
  <c r="Y160" i="5"/>
  <c r="Y159" i="5"/>
  <c r="Y158" i="5"/>
  <c r="Y157" i="5"/>
  <c r="Y156" i="5"/>
  <c r="Y155" i="5"/>
  <c r="Y154" i="5"/>
  <c r="Y153" i="5"/>
  <c r="Y152" i="5"/>
  <c r="Y151" i="5"/>
  <c r="Y150" i="5"/>
  <c r="Y149" i="5"/>
  <c r="Y148" i="5"/>
  <c r="Y147" i="5"/>
  <c r="Y146" i="5"/>
  <c r="Y145" i="5"/>
  <c r="Y144" i="5"/>
  <c r="Y143" i="5"/>
  <c r="Y142" i="5"/>
  <c r="Y141" i="5"/>
  <c r="Y140" i="5"/>
  <c r="Y139" i="5"/>
  <c r="Y138" i="5"/>
  <c r="Y137" i="5"/>
  <c r="Y136" i="5"/>
  <c r="Y135" i="5"/>
  <c r="Y134" i="5"/>
  <c r="Y133" i="5"/>
  <c r="Y132" i="5"/>
  <c r="Y131" i="5"/>
  <c r="Y130" i="5"/>
  <c r="Y129" i="5"/>
  <c r="Y128" i="5"/>
  <c r="Y127" i="5"/>
  <c r="Y126" i="5"/>
  <c r="Y125" i="5"/>
  <c r="Y124" i="5"/>
  <c r="Y123" i="5"/>
  <c r="Y122" i="5"/>
  <c r="Y121" i="5"/>
  <c r="Y120" i="5"/>
  <c r="Y119" i="5"/>
  <c r="Y118" i="5"/>
  <c r="Y117" i="5"/>
  <c r="Y116" i="5"/>
  <c r="Y115" i="5"/>
  <c r="Y114" i="5"/>
  <c r="Y113" i="5"/>
  <c r="Y112" i="5"/>
  <c r="Y111" i="5"/>
  <c r="Y110" i="5"/>
  <c r="Y109" i="5"/>
  <c r="Y108" i="5"/>
  <c r="Y107" i="5"/>
  <c r="Y106" i="5"/>
  <c r="Y105" i="5"/>
  <c r="Y104" i="5"/>
  <c r="Y103" i="5"/>
  <c r="Y102" i="5"/>
  <c r="Y101" i="5"/>
  <c r="Y100" i="5"/>
  <c r="Y99" i="5"/>
  <c r="Y98" i="5"/>
  <c r="Y97" i="5"/>
  <c r="Y96" i="5"/>
  <c r="Y95" i="5"/>
  <c r="Y94" i="5"/>
  <c r="Y93" i="5"/>
  <c r="Y92" i="5"/>
  <c r="Y91" i="5"/>
  <c r="Y90" i="5"/>
  <c r="Y89" i="5"/>
  <c r="Y88" i="5"/>
  <c r="Y87" i="5"/>
  <c r="Y86" i="5"/>
  <c r="Y85" i="5"/>
  <c r="Y84" i="5"/>
  <c r="Y83" i="5"/>
  <c r="Y82" i="5"/>
  <c r="Y81" i="5"/>
  <c r="Y80" i="5"/>
  <c r="Y79" i="5"/>
  <c r="Y78" i="5"/>
  <c r="Y77" i="5"/>
  <c r="Y76" i="5"/>
  <c r="Y75" i="5"/>
  <c r="Y74" i="5"/>
  <c r="Y73" i="5"/>
  <c r="Y72" i="5"/>
  <c r="Y71" i="5"/>
  <c r="Y70" i="5"/>
  <c r="Y69" i="5"/>
  <c r="Y68" i="5"/>
  <c r="Y67" i="5"/>
  <c r="Y66" i="5"/>
  <c r="Y65" i="5"/>
  <c r="Y64" i="5"/>
  <c r="Y63" i="5"/>
  <c r="Y62" i="5"/>
  <c r="Y61" i="5"/>
  <c r="Y60" i="5"/>
  <c r="Y59" i="5"/>
  <c r="Y58" i="5"/>
  <c r="Y57" i="5"/>
  <c r="Y56" i="5"/>
  <c r="Y55" i="5"/>
  <c r="Y54" i="5"/>
  <c r="Y53" i="5"/>
  <c r="Y52" i="5"/>
  <c r="Y51" i="5"/>
  <c r="Y50" i="5"/>
  <c r="Y49" i="5"/>
  <c r="Y48" i="5"/>
  <c r="Y47" i="5"/>
  <c r="Y46" i="5"/>
  <c r="Y45" i="5"/>
  <c r="Y44" i="5"/>
  <c r="Y43" i="5"/>
  <c r="Y42" i="5"/>
  <c r="Y41" i="5"/>
  <c r="Y40" i="5"/>
  <c r="Y39" i="5"/>
  <c r="Y38" i="5"/>
  <c r="Y37" i="5"/>
  <c r="Y36" i="5"/>
  <c r="Y35" i="5"/>
  <c r="Y34" i="5"/>
  <c r="Y33" i="5"/>
  <c r="Y32" i="5"/>
  <c r="Y31" i="5"/>
  <c r="Y30" i="5"/>
  <c r="Y3" i="5"/>
  <c r="Y4" i="5"/>
  <c r="Y5" i="5"/>
  <c r="Y6" i="5"/>
  <c r="Y7" i="5"/>
  <c r="Y8" i="5"/>
  <c r="Y9" i="5"/>
  <c r="Y10" i="5"/>
  <c r="Y11" i="5"/>
  <c r="Y12" i="5"/>
  <c r="Y13" i="5"/>
  <c r="Y14" i="5"/>
  <c r="Y15" i="5"/>
  <c r="Y16" i="5"/>
  <c r="Y17" i="5"/>
  <c r="Y18" i="5"/>
  <c r="Y19" i="5"/>
  <c r="Y20" i="5"/>
  <c r="Y21" i="5"/>
  <c r="Y22" i="5"/>
  <c r="Y23" i="5"/>
  <c r="Y24" i="5"/>
  <c r="Y25" i="5"/>
  <c r="Y26" i="5"/>
  <c r="Y27" i="5"/>
  <c r="Y28" i="5"/>
  <c r="Y29" i="5"/>
  <c r="Y2" i="5"/>
  <c r="Y192" i="7"/>
  <c r="Y191" i="7"/>
  <c r="Y190" i="7"/>
  <c r="Y189" i="7"/>
  <c r="Y188" i="7"/>
  <c r="Y197" i="7"/>
  <c r="Y187" i="7"/>
  <c r="Y186" i="7"/>
  <c r="Y185" i="7"/>
  <c r="Y184" i="7"/>
  <c r="Y183" i="7"/>
  <c r="Y196" i="7"/>
  <c r="Y182" i="7"/>
  <c r="Y29" i="7"/>
  <c r="Y181" i="7"/>
  <c r="Y180" i="7"/>
  <c r="Y179" i="7"/>
  <c r="Y178" i="7"/>
  <c r="Y195" i="7"/>
  <c r="Y177" i="7"/>
  <c r="Y176" i="7"/>
  <c r="Y175" i="7"/>
  <c r="Y174" i="7"/>
  <c r="Y173" i="7"/>
  <c r="Y172" i="7"/>
  <c r="Y171" i="7"/>
  <c r="Y170" i="7"/>
  <c r="Y169" i="7"/>
  <c r="Y168" i="7"/>
  <c r="Y167" i="7"/>
  <c r="Y166" i="7"/>
  <c r="Y165" i="7"/>
  <c r="Y28" i="7"/>
  <c r="Y164" i="7"/>
  <c r="Y163" i="7"/>
  <c r="Y162" i="7"/>
  <c r="Y161" i="7"/>
  <c r="Y160" i="7"/>
  <c r="Y159" i="7"/>
  <c r="Y158" i="7"/>
  <c r="Y157" i="7"/>
  <c r="Y156" i="7"/>
  <c r="Y155" i="7"/>
  <c r="Y154" i="7"/>
  <c r="Y153" i="7"/>
  <c r="Y152" i="7"/>
  <c r="Y151" i="7"/>
  <c r="Y150" i="7"/>
  <c r="Y149" i="7"/>
  <c r="Y148" i="7"/>
  <c r="Y147" i="7"/>
  <c r="Y146" i="7"/>
  <c r="Y27" i="7"/>
  <c r="Y145" i="7"/>
  <c r="Y144" i="7"/>
  <c r="Y143" i="7"/>
  <c r="Y142" i="7"/>
  <c r="Y141" i="7"/>
  <c r="Y140" i="7"/>
  <c r="Y139" i="7"/>
  <c r="Y138" i="7"/>
  <c r="Y137" i="7"/>
  <c r="Y26" i="7"/>
  <c r="Y194" i="7"/>
  <c r="Y136" i="7"/>
  <c r="Y25" i="7"/>
  <c r="Y24" i="7"/>
  <c r="Y193" i="7"/>
  <c r="Y135" i="7"/>
  <c r="Y134" i="7"/>
  <c r="Y133" i="7"/>
  <c r="Y132" i="7"/>
  <c r="Y131" i="7"/>
  <c r="Y130" i="7"/>
  <c r="Y129" i="7"/>
  <c r="Y128" i="7"/>
  <c r="Y127" i="7"/>
  <c r="Y126" i="7"/>
  <c r="Y125" i="7"/>
  <c r="Y124" i="7"/>
  <c r="Y23" i="7"/>
  <c r="Y123" i="7"/>
  <c r="Y122" i="7"/>
  <c r="Y121" i="7"/>
  <c r="Y120" i="7"/>
  <c r="Y119" i="7"/>
  <c r="Y118" i="7"/>
  <c r="Y117" i="7"/>
  <c r="Y22" i="7"/>
  <c r="Y116" i="7"/>
  <c r="Y115" i="7"/>
  <c r="Y21" i="7"/>
  <c r="Y114" i="7"/>
  <c r="Y113" i="7"/>
  <c r="Y112" i="7"/>
  <c r="Y20" i="7"/>
  <c r="Y111" i="7"/>
  <c r="Y110" i="7"/>
  <c r="Y109" i="7"/>
  <c r="Y108" i="7"/>
  <c r="Y107" i="7"/>
  <c r="Y106" i="7"/>
  <c r="Y105" i="7"/>
  <c r="Y104" i="7"/>
  <c r="Y103" i="7"/>
  <c r="Y102" i="7"/>
  <c r="Y101" i="7"/>
  <c r="Y100" i="7"/>
  <c r="Y99" i="7"/>
  <c r="Y19" i="7"/>
  <c r="Y98" i="7"/>
  <c r="Y97" i="7"/>
  <c r="Y18" i="7"/>
  <c r="Y96" i="7"/>
  <c r="Y17" i="7"/>
  <c r="Y95" i="7"/>
  <c r="Y94" i="7"/>
  <c r="Y16" i="7"/>
  <c r="Y93" i="7"/>
  <c r="Y92" i="7"/>
  <c r="Y91" i="7"/>
  <c r="Y90" i="7"/>
  <c r="Y89" i="7"/>
  <c r="Y88" i="7"/>
  <c r="Y87" i="7"/>
  <c r="Y86" i="7"/>
  <c r="Y85" i="7"/>
  <c r="Y15" i="7"/>
  <c r="Y84" i="7"/>
  <c r="Y83" i="7"/>
  <c r="Y82" i="7"/>
  <c r="Y81" i="7"/>
  <c r="Y80" i="7"/>
  <c r="Y79" i="7"/>
  <c r="Y14" i="7"/>
  <c r="Y78" i="7"/>
  <c r="Y77" i="7"/>
  <c r="Y13" i="7"/>
  <c r="Y76" i="7"/>
  <c r="Y12" i="7"/>
  <c r="Y75" i="7"/>
  <c r="Y74" i="7"/>
  <c r="Y11" i="7"/>
  <c r="Y73" i="7"/>
  <c r="Y72" i="7"/>
  <c r="Y71" i="7"/>
  <c r="Y70" i="7"/>
  <c r="Y69" i="7"/>
  <c r="Y10" i="7"/>
  <c r="Y68" i="7"/>
  <c r="Y67" i="7"/>
  <c r="Y9" i="7"/>
  <c r="Y66" i="7"/>
  <c r="Y8" i="7"/>
  <c r="Y65" i="7"/>
  <c r="Y64" i="7"/>
  <c r="Y63" i="7"/>
  <c r="Y62" i="7"/>
  <c r="Y61" i="7"/>
  <c r="Y60" i="7"/>
  <c r="Y59" i="7"/>
  <c r="Y58" i="7"/>
  <c r="Y57" i="7"/>
  <c r="Y56" i="7"/>
  <c r="Y55" i="7"/>
  <c r="Y7" i="7"/>
  <c r="Y6" i="7"/>
  <c r="Y54" i="7"/>
  <c r="Y53" i="7"/>
  <c r="Y52" i="7"/>
  <c r="Y51" i="7"/>
  <c r="Y50" i="7"/>
  <c r="Y49" i="7"/>
  <c r="Y48" i="7"/>
  <c r="Y47" i="7"/>
  <c r="Y46" i="7"/>
  <c r="Y45" i="7"/>
  <c r="Y44" i="7"/>
  <c r="Y43" i="7"/>
  <c r="Y42" i="7"/>
  <c r="Y41" i="7"/>
  <c r="Y40" i="7"/>
  <c r="Y39" i="7"/>
  <c r="Y5" i="7"/>
  <c r="Y38" i="7"/>
  <c r="Y37" i="7"/>
  <c r="Y4" i="7"/>
  <c r="Y3" i="7"/>
  <c r="Y36" i="7"/>
  <c r="Y35" i="7"/>
  <c r="Y34" i="7"/>
  <c r="Y33" i="7"/>
  <c r="Y2" i="7"/>
  <c r="Y32" i="7"/>
  <c r="Y31" i="7"/>
  <c r="Y30" i="7"/>
  <c r="C4" i="4"/>
  <c r="G4" i="3"/>
</calcChain>
</file>

<file path=xl/comments1.xml><?xml version="1.0" encoding="utf-8"?>
<comments xmlns="http://schemas.openxmlformats.org/spreadsheetml/2006/main">
  <authors>
    <author>Phillipe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0 soverein country, 1 territories. 2 MISSING DATA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Very high=1, High=2, Medium=3, Low=4
</t>
        </r>
      </text>
    </comment>
    <comment ref="H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Very high=1, High=2, Medium=3, Low=4
</t>
        </r>
      </text>
    </comment>
    <comment ref="I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1 Members, 0 non</t>
        </r>
      </text>
    </comment>
    <comment ref="J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1, yes, 0 not</t>
        </r>
      </text>
    </comment>
    <comment ref="X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These Scores are clustered within UNDPs</t>
        </r>
      </text>
    </comment>
    <comment ref="Y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These agregate allow to compare countires between UNDP classes</t>
        </r>
      </text>
    </comment>
  </commentList>
</comments>
</file>

<file path=xl/comments2.xml><?xml version="1.0" encoding="utf-8"?>
<comments xmlns="http://schemas.openxmlformats.org/spreadsheetml/2006/main">
  <authors>
    <author>Phillipe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0 soverein country, 1 territories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Very high=1, High=2, Medium=3, Low=4
</t>
        </r>
      </text>
    </comment>
    <comment ref="H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Very high=1, High=2, Medium=3, Low=4
</t>
        </r>
      </text>
    </comment>
    <comment ref="I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1 Members, 0 non</t>
        </r>
      </text>
    </comment>
    <comment ref="J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1, yes, 0 not</t>
        </r>
      </text>
    </comment>
    <comment ref="X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These Scores are clustered within UNDPs</t>
        </r>
      </text>
    </comment>
    <comment ref="Y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These agregate allow to compare countires between UNDP classes</t>
        </r>
      </text>
    </comment>
  </commentList>
</comments>
</file>

<file path=xl/comments3.xml><?xml version="1.0" encoding="utf-8"?>
<comments xmlns="http://schemas.openxmlformats.org/spreadsheetml/2006/main">
  <authors>
    <author>Phillipe</author>
  </authors>
  <commentList>
    <comment ref="B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0 soverein country, 1 territories. 2 MISSING DATA</t>
        </r>
      </text>
    </comment>
    <comment ref="G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Very high=1, High=2, Medium=3, Low=4
</t>
        </r>
      </text>
    </comment>
    <comment ref="H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Very high=1, High=2, Medium=3, Low=4
</t>
        </r>
      </text>
    </comment>
    <comment ref="I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1 Members, 0 non</t>
        </r>
      </text>
    </comment>
    <comment ref="J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1, yes, 0 not</t>
        </r>
      </text>
    </comment>
    <comment ref="X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These Scores are clustered within UNDPs</t>
        </r>
      </text>
    </comment>
    <comment ref="Y1" authorId="0">
      <text>
        <r>
          <rPr>
            <b/>
            <sz val="9"/>
            <color indexed="81"/>
            <rFont val="Tahoma"/>
            <family val="2"/>
          </rPr>
          <t>Phillipe:</t>
        </r>
        <r>
          <rPr>
            <sz val="9"/>
            <color indexed="81"/>
            <rFont val="Tahoma"/>
            <family val="2"/>
          </rPr>
          <t xml:space="preserve">
These agregate allow to compare countires between UNDP classes</t>
        </r>
      </text>
    </comment>
  </commentList>
</comments>
</file>

<file path=xl/sharedStrings.xml><?xml version="1.0" encoding="utf-8"?>
<sst xmlns="http://schemas.openxmlformats.org/spreadsheetml/2006/main" count="4203" uniqueCount="665">
  <si>
    <t>Falkland Islands</t>
  </si>
  <si>
    <t>FRO</t>
  </si>
  <si>
    <t>Faeroe Islands</t>
  </si>
  <si>
    <t>GIB</t>
  </si>
  <si>
    <t>Gibraltar</t>
  </si>
  <si>
    <t>GLP</t>
  </si>
  <si>
    <t>Guadeloupe</t>
  </si>
  <si>
    <t>GRL</t>
  </si>
  <si>
    <t>Greenland</t>
  </si>
  <si>
    <t>Arctic</t>
  </si>
  <si>
    <t>GUF</t>
  </si>
  <si>
    <t>French Guiana</t>
  </si>
  <si>
    <t>HKG</t>
  </si>
  <si>
    <t>Hong Kong</t>
  </si>
  <si>
    <t>IMN</t>
  </si>
  <si>
    <t>Isle of Man</t>
  </si>
  <si>
    <t>Macao</t>
  </si>
  <si>
    <t>MNP</t>
  </si>
  <si>
    <t>Northern Mariana Islands</t>
  </si>
  <si>
    <t>MSR</t>
  </si>
  <si>
    <t>Montserrat</t>
  </si>
  <si>
    <t>MTQ</t>
  </si>
  <si>
    <t>Martinique</t>
  </si>
  <si>
    <t>MYT</t>
  </si>
  <si>
    <t>Mayotte</t>
  </si>
  <si>
    <t>NCL</t>
  </si>
  <si>
    <t>New Caledonia</t>
  </si>
  <si>
    <t>NFK</t>
  </si>
  <si>
    <t>Norfolk Island</t>
  </si>
  <si>
    <t>PCN</t>
  </si>
  <si>
    <t>Pitcairn</t>
  </si>
  <si>
    <t>PYF</t>
  </si>
  <si>
    <t>French Polynesia</t>
  </si>
  <si>
    <t>REU</t>
  </si>
  <si>
    <t>Réunion</t>
  </si>
  <si>
    <t>SHN</t>
  </si>
  <si>
    <t>Saint Helena</t>
  </si>
  <si>
    <t>SJM</t>
  </si>
  <si>
    <t>Svalbard and Jan Mayen Islands</t>
  </si>
  <si>
    <t>TCA</t>
  </si>
  <si>
    <t>Turks and Caicos Islands</t>
  </si>
  <si>
    <t>TKL</t>
  </si>
  <si>
    <t>Tokelau</t>
  </si>
  <si>
    <t>TWN</t>
  </si>
  <si>
    <t>Taiwan</t>
  </si>
  <si>
    <t>VGB</t>
  </si>
  <si>
    <t>British Virgin Islands</t>
  </si>
  <si>
    <t>VIR</t>
  </si>
  <si>
    <t>United States Virgin Islands</t>
  </si>
  <si>
    <t>SPM</t>
  </si>
  <si>
    <t>Saint Pierre and Miquelon</t>
  </si>
  <si>
    <t>UNDP</t>
  </si>
  <si>
    <t>missing data</t>
  </si>
  <si>
    <t>Safe &amp; Welcoming factor</t>
  </si>
  <si>
    <t>Adventure factor</t>
  </si>
  <si>
    <t>Readiness factor</t>
  </si>
  <si>
    <t>Territories not Included</t>
  </si>
  <si>
    <t>RAW</t>
  </si>
  <si>
    <t>This spreadsheet contains seven worksheets:</t>
  </si>
  <si>
    <t>2. 2010 ADTI by UNDP categories</t>
  </si>
  <si>
    <t>3. 2010 ADTI details (per Pillars) Sortable data</t>
  </si>
  <si>
    <t>4. 2009 ADTI details (per Pillars) Sortable data</t>
  </si>
  <si>
    <t>5. ADTI change between 2010 and 2009 color coded</t>
  </si>
  <si>
    <t>6. Pillar Framework and data sources</t>
  </si>
  <si>
    <t>7. Experts Profiles</t>
  </si>
  <si>
    <t>February 2011</t>
  </si>
  <si>
    <t>Methodology details</t>
  </si>
  <si>
    <t>note: unless noted missing data gets the value 1</t>
  </si>
  <si>
    <t>Negative impact scale based on threat level reported</t>
  </si>
  <si>
    <t>Missing Data imputed by Geo sub region average</t>
  </si>
  <si>
    <t>Substracted from above</t>
  </si>
  <si>
    <t>Column1</t>
  </si>
  <si>
    <t>Profession</t>
  </si>
  <si>
    <t>%</t>
  </si>
  <si>
    <t>Developer</t>
  </si>
  <si>
    <t>Gender</t>
  </si>
  <si>
    <t>Average experience in</t>
  </si>
  <si>
    <t>Travel &amp; Tourism</t>
  </si>
  <si>
    <t>Adventure Tourism</t>
  </si>
  <si>
    <t>Tour Operator</t>
  </si>
  <si>
    <t>Travel Writer</t>
  </si>
  <si>
    <t>DMO</t>
  </si>
  <si>
    <t>Consulting</t>
  </si>
  <si>
    <t>Hospitality</t>
  </si>
  <si>
    <t>Other:</t>
  </si>
  <si>
    <t>TO and Writer</t>
  </si>
  <si>
    <t>Nb of Experts</t>
  </si>
  <si>
    <t>Rank</t>
  </si>
  <si>
    <t>Country</t>
  </si>
  <si>
    <t>ISO3V10</t>
  </si>
  <si>
    <t>ADTI score</t>
  </si>
  <si>
    <t>Best in Class</t>
  </si>
  <si>
    <t>Best</t>
  </si>
  <si>
    <t>Worst</t>
  </si>
  <si>
    <t>Legend</t>
  </si>
  <si>
    <t>Average countries</t>
  </si>
  <si>
    <t>Worst in Class</t>
  </si>
  <si>
    <t>Around Average</t>
  </si>
  <si>
    <t>A low score represents a high overall rank in the three factors categories</t>
  </si>
  <si>
    <t>Rank within the country category</t>
  </si>
  <si>
    <t>Country Codes</t>
  </si>
  <si>
    <t>Regions</t>
  </si>
  <si>
    <t>GEO_subregion</t>
  </si>
  <si>
    <t>HDI</t>
  </si>
  <si>
    <t>GDP</t>
  </si>
  <si>
    <t>OCDE</t>
  </si>
  <si>
    <t>South Asia</t>
  </si>
  <si>
    <t>Sub-Saharan Africa</t>
  </si>
  <si>
    <t>Southern Africa</t>
  </si>
  <si>
    <t>Eastern Europe and Central Asia</t>
  </si>
  <si>
    <t>Central Europe</t>
  </si>
  <si>
    <t>Europe</t>
  </si>
  <si>
    <t>Western Europe</t>
  </si>
  <si>
    <t>Middle East and North Africa</t>
  </si>
  <si>
    <t>Arabian Peninsula</t>
  </si>
  <si>
    <t>Latin America and Caribbean</t>
  </si>
  <si>
    <t>South America</t>
  </si>
  <si>
    <t>Eastern Europe</t>
  </si>
  <si>
    <t>Caribbean</t>
  </si>
  <si>
    <t>East Asia and the Pacific</t>
  </si>
  <si>
    <t>Australia and New Zealand</t>
  </si>
  <si>
    <t>Eastern Africa</t>
  </si>
  <si>
    <t>Western Africa</t>
  </si>
  <si>
    <t>Bahamas</t>
  </si>
  <si>
    <t>Meso America</t>
  </si>
  <si>
    <t>South East Asia</t>
  </si>
  <si>
    <t>Central Africa</t>
  </si>
  <si>
    <t>North America</t>
  </si>
  <si>
    <t>Northeast Asia</t>
  </si>
  <si>
    <t>Côte d'Ivoire</t>
  </si>
  <si>
    <t>COD</t>
  </si>
  <si>
    <t>Dem. Rep. Congo</t>
  </si>
  <si>
    <t>Congo</t>
  </si>
  <si>
    <t>Western Indian Ocean</t>
  </si>
  <si>
    <t>Northern Africa</t>
  </si>
  <si>
    <t>Egypt</t>
  </si>
  <si>
    <t>South Pacific</t>
  </si>
  <si>
    <t>Micronesia</t>
  </si>
  <si>
    <t>Gambia</t>
  </si>
  <si>
    <t>Iran</t>
  </si>
  <si>
    <t>Mashriq</t>
  </si>
  <si>
    <t>Central Asia</t>
  </si>
  <si>
    <t>Kyrgyzstan</t>
  </si>
  <si>
    <t>Saint Kitts and Nevis</t>
  </si>
  <si>
    <t>South Korea</t>
  </si>
  <si>
    <t>Laos</t>
  </si>
  <si>
    <t>Libyan Arab Jamahiriya</t>
  </si>
  <si>
    <t>Saint Lucia</t>
  </si>
  <si>
    <t>Macedonia</t>
  </si>
  <si>
    <t>NIU</t>
  </si>
  <si>
    <t>Niue</t>
  </si>
  <si>
    <t>NRU</t>
  </si>
  <si>
    <t>Nauru</t>
  </si>
  <si>
    <t>North Korea</t>
  </si>
  <si>
    <t>ROU</t>
  </si>
  <si>
    <t>Russia</t>
  </si>
  <si>
    <t xml:space="preserve">Serbia </t>
  </si>
  <si>
    <t>Syria</t>
  </si>
  <si>
    <t>TUV</t>
  </si>
  <si>
    <t>Tuvalu</t>
  </si>
  <si>
    <t>United States of America</t>
  </si>
  <si>
    <t>VAT</t>
  </si>
  <si>
    <t>Holy See</t>
  </si>
  <si>
    <t>Saint Vincent and the Grenadines</t>
  </si>
  <si>
    <t>Venezuela</t>
  </si>
  <si>
    <t>Viet Nam</t>
  </si>
  <si>
    <t>WLF</t>
  </si>
  <si>
    <t>Wallis and Futuna Islands</t>
  </si>
  <si>
    <t>Yemen</t>
  </si>
  <si>
    <t>ABW</t>
  </si>
  <si>
    <t>Aruba</t>
  </si>
  <si>
    <t>AIA</t>
  </si>
  <si>
    <t>Anguilla</t>
  </si>
  <si>
    <t>ANT</t>
  </si>
  <si>
    <t>Netherlands Antilles</t>
  </si>
  <si>
    <t>ASM</t>
  </si>
  <si>
    <t>American Samoa</t>
  </si>
  <si>
    <t>COK</t>
  </si>
  <si>
    <t>Cook Islands</t>
  </si>
  <si>
    <t>ESH</t>
  </si>
  <si>
    <t>Western Sahara</t>
  </si>
  <si>
    <t>FLK</t>
  </si>
  <si>
    <t>http://www.fco.gov.uk/en/travelling-and-living-overseas/travel-advice-by-country/</t>
  </si>
  <si>
    <t>Foreign &amp; Commonwealth Office (FCO) Travel Advice</t>
  </si>
  <si>
    <t>http://www.who.int/whosis/whostat/en/</t>
  </si>
  <si>
    <t>World Health Organization (WHO)</t>
  </si>
  <si>
    <t>Expert Opinion</t>
  </si>
  <si>
    <t>Safety</t>
  </si>
  <si>
    <t>Health</t>
  </si>
  <si>
    <t>Natural Resources</t>
  </si>
  <si>
    <t>Population Density</t>
  </si>
  <si>
    <t>Urban Concentration</t>
  </si>
  <si>
    <t>World Resources Institute (WRI)</t>
  </si>
  <si>
    <t>http://earthtrends.wri.org</t>
  </si>
  <si>
    <t>Coast/Area Ratio m/km2</t>
  </si>
  <si>
    <t>Coastline Km</t>
  </si>
  <si>
    <t>https://www.cia.gov/library/publications/the-world-factbook/</t>
  </si>
  <si>
    <t>CIA the World Factbook</t>
  </si>
  <si>
    <t>Cultural Resources</t>
  </si>
  <si>
    <t>http://whc.unesco.org/en/list/</t>
  </si>
  <si>
    <t>UNESCO</t>
  </si>
  <si>
    <t>World Heritage List</t>
  </si>
  <si>
    <t>World Heritage in danger</t>
  </si>
  <si>
    <t xml:space="preserve">Proportion of terrestrial and marine areas protected </t>
  </si>
  <si>
    <t xml:space="preserve">http://www.wdpa.org/Statistics.aspxd </t>
  </si>
  <si>
    <t>World Database on Protected Areas</t>
  </si>
  <si>
    <t>Protected Areas: Larger than 100,000 hectares, number</t>
  </si>
  <si>
    <t>Adventure Activity Resources</t>
  </si>
  <si>
    <t>All Species in Danger</t>
  </si>
  <si>
    <t>http://www.iucnredlist.org/documents/summarystatistics/2010_4RL_Stats_Table_5.pdf</t>
  </si>
  <si>
    <t>The IUCN Red List of Threatened Species</t>
  </si>
  <si>
    <t>http://www.fao.org/</t>
  </si>
  <si>
    <t>Food and Agriculture Organization of the United Nations</t>
  </si>
  <si>
    <t>Forest area coverage change</t>
  </si>
  <si>
    <t>Entrepreneurship</t>
  </si>
  <si>
    <t>http://www.heritage.org/Index/</t>
  </si>
  <si>
    <t>Economic Freedom Index</t>
  </si>
  <si>
    <t>Humanitarian</t>
  </si>
  <si>
    <t>Union of International Associations' Yearbook of International Organizations by the Center for the Study of Global Governance</t>
  </si>
  <si>
    <t>Density per Habitant of iNGO</t>
  </si>
  <si>
    <t>Number of International NGO  (iNGO)</t>
  </si>
  <si>
    <t>Happy Planet Index (HPI)</t>
  </si>
  <si>
    <t>NEF</t>
  </si>
  <si>
    <t>http://www.happyplanetindex.org/</t>
  </si>
  <si>
    <t>Infrastructure</t>
  </si>
  <si>
    <t>Image</t>
  </si>
  <si>
    <t>Safe &amp; Welcoming</t>
  </si>
  <si>
    <t>Adventure</t>
  </si>
  <si>
    <t>Readiness</t>
  </si>
  <si>
    <t>Indicator Weight in ADTI %</t>
  </si>
  <si>
    <t>Union of International Associations</t>
  </si>
  <si>
    <t>Indicator Weight (% of Pillar)</t>
  </si>
  <si>
    <t>Number of Physicians</t>
  </si>
  <si>
    <t>Number of Hospital beds</t>
  </si>
  <si>
    <t>Factor Weight (% of ADTI)</t>
  </si>
  <si>
    <t>Pillar Weight (% of Factor)</t>
  </si>
  <si>
    <t>Indicators Used</t>
  </si>
  <si>
    <t xml:space="preserve">Indicators </t>
  </si>
  <si>
    <t>EPI 2010</t>
  </si>
  <si>
    <t>Male</t>
  </si>
  <si>
    <t>Female</t>
  </si>
  <si>
    <t>Years</t>
  </si>
  <si>
    <t>Solomon Islands</t>
  </si>
  <si>
    <t>SLB</t>
  </si>
  <si>
    <t>Gambia, The</t>
  </si>
  <si>
    <t>GMB</t>
  </si>
  <si>
    <t>Zimbabwe</t>
  </si>
  <si>
    <t>ZWE</t>
  </si>
  <si>
    <t>Benin</t>
  </si>
  <si>
    <t>BEN</t>
  </si>
  <si>
    <t>Malaysia</t>
  </si>
  <si>
    <t>MYS</t>
  </si>
  <si>
    <t>San Marino</t>
  </si>
  <si>
    <t>SMR</t>
  </si>
  <si>
    <t>Antigua and Barbuda</t>
  </si>
  <si>
    <t>ATG</t>
  </si>
  <si>
    <t>Mauritania</t>
  </si>
  <si>
    <t>MRT</t>
  </si>
  <si>
    <t>Sao Tome and Principe</t>
  </si>
  <si>
    <t>STP</t>
  </si>
  <si>
    <t>Angola</t>
  </si>
  <si>
    <t>AGO</t>
  </si>
  <si>
    <t>Cameroon</t>
  </si>
  <si>
    <t>CMR</t>
  </si>
  <si>
    <t>Togo</t>
  </si>
  <si>
    <t>TGO</t>
  </si>
  <si>
    <t>Bangladesh</t>
  </si>
  <si>
    <t>BGD</t>
  </si>
  <si>
    <t>Somalia</t>
  </si>
  <si>
    <t>SOM</t>
  </si>
  <si>
    <t>Cote d'Ivoire</t>
  </si>
  <si>
    <t>CIV</t>
  </si>
  <si>
    <t>Kiribati</t>
  </si>
  <si>
    <t>KIR</t>
  </si>
  <si>
    <t>Guinea</t>
  </si>
  <si>
    <t>GIN</t>
  </si>
  <si>
    <t>Grenada</t>
  </si>
  <si>
    <t>GRD</t>
  </si>
  <si>
    <t>Congo, Dem. Rep.</t>
  </si>
  <si>
    <t>COG</t>
  </si>
  <si>
    <t>Comoros</t>
  </si>
  <si>
    <t>COM</t>
  </si>
  <si>
    <t>Equatorial Guinea</t>
  </si>
  <si>
    <t>GNQ</t>
  </si>
  <si>
    <t>Niger</t>
  </si>
  <si>
    <t>NER</t>
  </si>
  <si>
    <t>Eritrea</t>
  </si>
  <si>
    <t>ERI</t>
  </si>
  <si>
    <t>Congo, Rep.</t>
  </si>
  <si>
    <t>Tonga</t>
  </si>
  <si>
    <t>TON</t>
  </si>
  <si>
    <t>Timor-Leste</t>
  </si>
  <si>
    <t>TMP</t>
  </si>
  <si>
    <t>Sudan</t>
  </si>
  <si>
    <t>SDN</t>
  </si>
  <si>
    <t>Chad</t>
  </si>
  <si>
    <t>TCD</t>
  </si>
  <si>
    <t>Central African Republic</t>
  </si>
  <si>
    <t>CAF</t>
  </si>
  <si>
    <t>Haiti</t>
  </si>
  <si>
    <t>HTI</t>
  </si>
  <si>
    <t>TLS</t>
  </si>
  <si>
    <t>Marshall Islands</t>
  </si>
  <si>
    <t>MHL</t>
  </si>
  <si>
    <t>Djibouti</t>
  </si>
  <si>
    <t>DJI</t>
  </si>
  <si>
    <t>Sierra Leone</t>
  </si>
  <si>
    <t>SLE</t>
  </si>
  <si>
    <t>Liberia</t>
  </si>
  <si>
    <t>LBR</t>
  </si>
  <si>
    <t>Guinea-Bissau</t>
  </si>
  <si>
    <t>GNB</t>
  </si>
  <si>
    <t>Nigeria</t>
  </si>
  <si>
    <t>NGA</t>
  </si>
  <si>
    <t>Iraq</t>
  </si>
  <si>
    <t>IRQ</t>
  </si>
  <si>
    <t>Afghanistan</t>
  </si>
  <si>
    <t>AFG</t>
  </si>
  <si>
    <t>West Bank and Gaza</t>
  </si>
  <si>
    <t>WBG</t>
  </si>
  <si>
    <t>ZAR</t>
  </si>
  <si>
    <t>Burundi</t>
  </si>
  <si>
    <t>BDI</t>
  </si>
  <si>
    <t>Cayman Islands</t>
  </si>
  <si>
    <t>CYM</t>
  </si>
  <si>
    <t>Puerto Rico</t>
  </si>
  <si>
    <t>PRI</t>
  </si>
  <si>
    <t>Macao, China</t>
  </si>
  <si>
    <t>MAC</t>
  </si>
  <si>
    <t>Guam</t>
  </si>
  <si>
    <t>GUM</t>
  </si>
  <si>
    <t>SD</t>
  </si>
  <si>
    <t>Developed Countries</t>
  </si>
  <si>
    <t>Developing Countries</t>
  </si>
  <si>
    <t xml:space="preserve">Prepared by </t>
  </si>
  <si>
    <t xml:space="preserve">and  </t>
  </si>
  <si>
    <t xml:space="preserve">1. Information about this data set (this page). </t>
  </si>
  <si>
    <t>2010 Adventure Destination Tourism Index (ADTI)</t>
  </si>
  <si>
    <t>George Washington University</t>
  </si>
  <si>
    <t>Xola Consulting, Inc</t>
  </si>
  <si>
    <t>Available at: http://www.adti.com</t>
  </si>
  <si>
    <t>International Institute of Tourism Studies (IITS)</t>
  </si>
  <si>
    <t>Adventure Travel TradeAssociation (ATTA)</t>
  </si>
  <si>
    <t>Index</t>
  </si>
  <si>
    <t>Data Source</t>
  </si>
  <si>
    <t>ADTI</t>
  </si>
  <si>
    <t>Pillars</t>
  </si>
  <si>
    <t>Factors</t>
  </si>
  <si>
    <t>Sustainable Development</t>
  </si>
  <si>
    <t>Environmetal Performance Index (EPI)</t>
  </si>
  <si>
    <t>Unemployment Rate (%)</t>
  </si>
  <si>
    <t>http://epi.yale.edu</t>
  </si>
  <si>
    <t>http://unstats.un.org/unsd/demographic/products/socind/unemployment.htm</t>
  </si>
  <si>
    <t>Corruption Perceptions Index (CPI)</t>
  </si>
  <si>
    <t>http://www.transparency.org/</t>
  </si>
  <si>
    <t>St. Vincent and the Grenadines</t>
  </si>
  <si>
    <t>VCT</t>
  </si>
  <si>
    <t>Namibia</t>
  </si>
  <si>
    <t>NAM</t>
  </si>
  <si>
    <t>Venezuela, RB</t>
  </si>
  <si>
    <t>VEN</t>
  </si>
  <si>
    <t>Bahrain</t>
  </si>
  <si>
    <t>BHR</t>
  </si>
  <si>
    <t>Dominican Republic</t>
  </si>
  <si>
    <t>DOM</t>
  </si>
  <si>
    <t>Cape Verde</t>
  </si>
  <si>
    <t>CPV</t>
  </si>
  <si>
    <t>Saudi Arabia</t>
  </si>
  <si>
    <t>SAU</t>
  </si>
  <si>
    <t>Samoa</t>
  </si>
  <si>
    <t>WSM</t>
  </si>
  <si>
    <t>United Arab Emirates</t>
  </si>
  <si>
    <t>ARE</t>
  </si>
  <si>
    <t>Qatar</t>
  </si>
  <si>
    <t>QAT</t>
  </si>
  <si>
    <t>Albania</t>
  </si>
  <si>
    <t>ALB</t>
  </si>
  <si>
    <t>Kuwait</t>
  </si>
  <si>
    <t>KWT</t>
  </si>
  <si>
    <t>Mauritius</t>
  </si>
  <si>
    <t>MUS</t>
  </si>
  <si>
    <t>Jamaica</t>
  </si>
  <si>
    <t>JAM</t>
  </si>
  <si>
    <t>Azerbaijan</t>
  </si>
  <si>
    <t>AZE</t>
  </si>
  <si>
    <t>Swaziland</t>
  </si>
  <si>
    <t>SWZ</t>
  </si>
  <si>
    <t>Cuba</t>
  </si>
  <si>
    <t>CUB</t>
  </si>
  <si>
    <t>Gabon</t>
  </si>
  <si>
    <t>GAB</t>
  </si>
  <si>
    <t>Macedonia, FYR</t>
  </si>
  <si>
    <t>MKD</t>
  </si>
  <si>
    <t>Nepal</t>
  </si>
  <si>
    <t>NPL</t>
  </si>
  <si>
    <t>Colombia</t>
  </si>
  <si>
    <t>COL</t>
  </si>
  <si>
    <t>Philippines</t>
  </si>
  <si>
    <t>PHL</t>
  </si>
  <si>
    <t>China</t>
  </si>
  <si>
    <t>CHN</t>
  </si>
  <si>
    <t>Trinidad and Tobago</t>
  </si>
  <si>
    <t>TTO</t>
  </si>
  <si>
    <t>Korea, Dem. Rep.</t>
  </si>
  <si>
    <t>PRK</t>
  </si>
  <si>
    <t>Algeria</t>
  </si>
  <si>
    <t>DZA</t>
  </si>
  <si>
    <t>Vanuatu</t>
  </si>
  <si>
    <t>VUT</t>
  </si>
  <si>
    <t>Madagascar</t>
  </si>
  <si>
    <t>MDG</t>
  </si>
  <si>
    <t>Belarus</t>
  </si>
  <si>
    <t>BLR</t>
  </si>
  <si>
    <t>Suriname</t>
  </si>
  <si>
    <t>SUR</t>
  </si>
  <si>
    <t>Zambia</t>
  </si>
  <si>
    <t>ZMB</t>
  </si>
  <si>
    <t>Tanzania</t>
  </si>
  <si>
    <t>TZA</t>
  </si>
  <si>
    <t>Uzbekistan</t>
  </si>
  <si>
    <t>UZB</t>
  </si>
  <si>
    <t>Ethiopia</t>
  </si>
  <si>
    <t>ETH</t>
  </si>
  <si>
    <t>Bolivia</t>
  </si>
  <si>
    <t>BOL</t>
  </si>
  <si>
    <t>Tajikistan</t>
  </si>
  <si>
    <t>TJK</t>
  </si>
  <si>
    <t>Ecuador</t>
  </si>
  <si>
    <t>ECU</t>
  </si>
  <si>
    <t>Kenya</t>
  </si>
  <si>
    <t>KEN</t>
  </si>
  <si>
    <t>Lao PDR</t>
  </si>
  <si>
    <t>LAO</t>
  </si>
  <si>
    <t>Senegal</t>
  </si>
  <si>
    <t>SEN</t>
  </si>
  <si>
    <t>Ghana</t>
  </si>
  <si>
    <t>GHA</t>
  </si>
  <si>
    <t>Nicaragua</t>
  </si>
  <si>
    <t>NIC</t>
  </si>
  <si>
    <t>Sri Lanka</t>
  </si>
  <si>
    <t>LKA</t>
  </si>
  <si>
    <t>Guatemala</t>
  </si>
  <si>
    <t>GTM</t>
  </si>
  <si>
    <t>El Salvador</t>
  </si>
  <si>
    <t>SLV</t>
  </si>
  <si>
    <t>Seychelles</t>
  </si>
  <si>
    <t>SYC</t>
  </si>
  <si>
    <t>Brunei Darussalam</t>
  </si>
  <si>
    <t>BRN</t>
  </si>
  <si>
    <t>Iran, Islamic Rep.</t>
  </si>
  <si>
    <t>IRN</t>
  </si>
  <si>
    <t>Bosnia and Herzegovina</t>
  </si>
  <si>
    <t>BIH</t>
  </si>
  <si>
    <t>Micronesia, Fed. Sts.</t>
  </si>
  <si>
    <t>FSM</t>
  </si>
  <si>
    <t>Serbia</t>
  </si>
  <si>
    <t>SRB</t>
  </si>
  <si>
    <t>Moldova</t>
  </si>
  <si>
    <t>MDA</t>
  </si>
  <si>
    <t>Syrian Arab Republic</t>
  </si>
  <si>
    <t>SYR</t>
  </si>
  <si>
    <t>Paraguay</t>
  </si>
  <si>
    <t>PRY</t>
  </si>
  <si>
    <t>Montenegro</t>
  </si>
  <si>
    <t>MNE</t>
  </si>
  <si>
    <t>Yemen, Rep.</t>
  </si>
  <si>
    <t>YEM</t>
  </si>
  <si>
    <t>India</t>
  </si>
  <si>
    <t>IND</t>
  </si>
  <si>
    <t>Honduras</t>
  </si>
  <si>
    <t>HND</t>
  </si>
  <si>
    <t>St. Kitts and Nevis</t>
  </si>
  <si>
    <t>KNA</t>
  </si>
  <si>
    <t>Indonesia</t>
  </si>
  <si>
    <t>IDN</t>
  </si>
  <si>
    <t>Uganda</t>
  </si>
  <si>
    <t>UGA</t>
  </si>
  <si>
    <t>Turkmenistan</t>
  </si>
  <si>
    <t>TKM</t>
  </si>
  <si>
    <t>Bermuda</t>
  </si>
  <si>
    <t>BMU</t>
  </si>
  <si>
    <t>Malawi</t>
  </si>
  <si>
    <t>MWI</t>
  </si>
  <si>
    <t>Guyana</t>
  </si>
  <si>
    <t>GUY</t>
  </si>
  <si>
    <t>Palau</t>
  </si>
  <si>
    <t>PLW</t>
  </si>
  <si>
    <t>Pakistan</t>
  </si>
  <si>
    <t>PAK</t>
  </si>
  <si>
    <t>Mozambique</t>
  </si>
  <si>
    <t>MOZ</t>
  </si>
  <si>
    <t>Cambodia</t>
  </si>
  <si>
    <t>KHM</t>
  </si>
  <si>
    <t>Lesotho</t>
  </si>
  <si>
    <t>LSO</t>
  </si>
  <si>
    <t>Mali</t>
  </si>
  <si>
    <t>MLI</t>
  </si>
  <si>
    <t>Libya</t>
  </si>
  <si>
    <t>LBY</t>
  </si>
  <si>
    <t>Myanmar</t>
  </si>
  <si>
    <t>MMR</t>
  </si>
  <si>
    <t>Burkina Faso</t>
  </si>
  <si>
    <t>BFA</t>
  </si>
  <si>
    <t>Papua New Guinea</t>
  </si>
  <si>
    <t>PNG</t>
  </si>
  <si>
    <t>Maldives</t>
  </si>
  <si>
    <t>MDV</t>
  </si>
  <si>
    <t>WEIGHTED RANKING  10</t>
  </si>
  <si>
    <t>WEIGHTED RANKING  09</t>
  </si>
  <si>
    <t>WEIGHTED RANKING  08</t>
  </si>
  <si>
    <t>Switzerland</t>
  </si>
  <si>
    <t>CHE</t>
  </si>
  <si>
    <t>Iceland</t>
  </si>
  <si>
    <t>ISL</t>
  </si>
  <si>
    <t>Sweden</t>
  </si>
  <si>
    <t>SWE</t>
  </si>
  <si>
    <t>New Zealand</t>
  </si>
  <si>
    <t>NZL</t>
  </si>
  <si>
    <t>Finland</t>
  </si>
  <si>
    <t>FIN</t>
  </si>
  <si>
    <t>United Kingdom</t>
  </si>
  <si>
    <t>GBR</t>
  </si>
  <si>
    <t>Germany</t>
  </si>
  <si>
    <t>DEU</t>
  </si>
  <si>
    <t>Australia</t>
  </si>
  <si>
    <t>AUS</t>
  </si>
  <si>
    <t>Spain</t>
  </si>
  <si>
    <t>ESP</t>
  </si>
  <si>
    <t>Ireland</t>
  </si>
  <si>
    <t>IRL</t>
  </si>
  <si>
    <t>Luxembourg</t>
  </si>
  <si>
    <t>LUX</t>
  </si>
  <si>
    <t>United States</t>
  </si>
  <si>
    <t>USA</t>
  </si>
  <si>
    <t>Austria</t>
  </si>
  <si>
    <t>AUT</t>
  </si>
  <si>
    <t>Denmark</t>
  </si>
  <si>
    <t>DNK</t>
  </si>
  <si>
    <t>Norway</t>
  </si>
  <si>
    <t>NOR</t>
  </si>
  <si>
    <t>Canada</t>
  </si>
  <si>
    <t>CAN</t>
  </si>
  <si>
    <t>France</t>
  </si>
  <si>
    <t>FRA</t>
  </si>
  <si>
    <t>Italy</t>
  </si>
  <si>
    <t>ITA</t>
  </si>
  <si>
    <t>Japan</t>
  </si>
  <si>
    <t>JPN</t>
  </si>
  <si>
    <t>Portugal</t>
  </si>
  <si>
    <t>PRT</t>
  </si>
  <si>
    <t>Netherlands</t>
  </si>
  <si>
    <t>NLD</t>
  </si>
  <si>
    <t>Belgium</t>
  </si>
  <si>
    <t>BEL</t>
  </si>
  <si>
    <t>Cyprus</t>
  </si>
  <si>
    <t>CYP</t>
  </si>
  <si>
    <t>Malta</t>
  </si>
  <si>
    <t>MLT</t>
  </si>
  <si>
    <t>Greece</t>
  </si>
  <si>
    <t>GRC</t>
  </si>
  <si>
    <t>Liechtenstein</t>
  </si>
  <si>
    <t>LIE</t>
  </si>
  <si>
    <t>Monaco</t>
  </si>
  <si>
    <t>MCO</t>
  </si>
  <si>
    <t>Andorra</t>
  </si>
  <si>
    <t>AND</t>
  </si>
  <si>
    <t>ADO</t>
  </si>
  <si>
    <t>Mean</t>
  </si>
  <si>
    <t>Sd</t>
  </si>
  <si>
    <t>Israel</t>
  </si>
  <si>
    <t>ISR</t>
  </si>
  <si>
    <t>Slovak Republic</t>
  </si>
  <si>
    <t>SVK</t>
  </si>
  <si>
    <t>Estonia</t>
  </si>
  <si>
    <t>EST</t>
  </si>
  <si>
    <t>Slovenia</t>
  </si>
  <si>
    <t>SVN</t>
  </si>
  <si>
    <t>Chile</t>
  </si>
  <si>
    <t>CHL</t>
  </si>
  <si>
    <t>Czech Republic</t>
  </si>
  <si>
    <t>CZE</t>
  </si>
  <si>
    <t>Hungary</t>
  </si>
  <si>
    <t>HUN</t>
  </si>
  <si>
    <t>Bulgaria</t>
  </si>
  <si>
    <t>BGR</t>
  </si>
  <si>
    <t>Botswana</t>
  </si>
  <si>
    <t>BWA</t>
  </si>
  <si>
    <t>Jordan</t>
  </si>
  <si>
    <t>JOR</t>
  </si>
  <si>
    <t>Lithuania</t>
  </si>
  <si>
    <t>LTU</t>
  </si>
  <si>
    <t>Latvia</t>
  </si>
  <si>
    <t>LVA</t>
  </si>
  <si>
    <t>Costa Rica</t>
  </si>
  <si>
    <t>CRI</t>
  </si>
  <si>
    <t>Uruguay</t>
  </si>
  <si>
    <t>URY</t>
  </si>
  <si>
    <t>Croatia</t>
  </si>
  <si>
    <t>HRV</t>
  </si>
  <si>
    <t>Romania</t>
  </si>
  <si>
    <t>ROM</t>
  </si>
  <si>
    <t>Turkey</t>
  </si>
  <si>
    <t>TUR</t>
  </si>
  <si>
    <t>Barbados</t>
  </si>
  <si>
    <t>BRB</t>
  </si>
  <si>
    <t>Egypt, Arab Rep.</t>
  </si>
  <si>
    <t>EGY</t>
  </si>
  <si>
    <t>Poland</t>
  </si>
  <si>
    <t>POL</t>
  </si>
  <si>
    <t>Mongolia</t>
  </si>
  <si>
    <t>MNG</t>
  </si>
  <si>
    <t>Belize</t>
  </si>
  <si>
    <t>BLZ</t>
  </si>
  <si>
    <t>Bhutan</t>
  </si>
  <si>
    <t>BTN</t>
  </si>
  <si>
    <t>Argentina</t>
  </si>
  <si>
    <t>ARG</t>
  </si>
  <si>
    <t>Singapore</t>
  </si>
  <si>
    <t>SGP</t>
  </si>
  <si>
    <t>Oman</t>
  </si>
  <si>
    <t>OMN</t>
  </si>
  <si>
    <t>Kyrgyz Republic</t>
  </si>
  <si>
    <t>KGZ</t>
  </si>
  <si>
    <t>Peru</t>
  </si>
  <si>
    <t>PER</t>
  </si>
  <si>
    <t>Russian Federation</t>
  </si>
  <si>
    <t>RUS</t>
  </si>
  <si>
    <t>Georgia</t>
  </si>
  <si>
    <t>GEO</t>
  </si>
  <si>
    <t>Bahamas, The</t>
  </si>
  <si>
    <t>BHS</t>
  </si>
  <si>
    <t>Dominica</t>
  </si>
  <si>
    <t>DMA</t>
  </si>
  <si>
    <t>Panama</t>
  </si>
  <si>
    <t>PAN</t>
  </si>
  <si>
    <t>South Africa</t>
  </si>
  <si>
    <t>ZAF</t>
  </si>
  <si>
    <t>Armenia</t>
  </si>
  <si>
    <t>ARM</t>
  </si>
  <si>
    <t>Ukraine</t>
  </si>
  <si>
    <t>UKR</t>
  </si>
  <si>
    <t>Fiji</t>
  </si>
  <si>
    <t>FJI</t>
  </si>
  <si>
    <t>Thailand</t>
  </si>
  <si>
    <t>THA</t>
  </si>
  <si>
    <t>Korea, Rep.</t>
  </si>
  <si>
    <t>KOR</t>
  </si>
  <si>
    <t>Rwanda</t>
  </si>
  <si>
    <t>RWA</t>
  </si>
  <si>
    <t>Morocco</t>
  </si>
  <si>
    <t>MAR</t>
  </si>
  <si>
    <t>Vietnam</t>
  </si>
  <si>
    <t>VNM</t>
  </si>
  <si>
    <t>Mexico</t>
  </si>
  <si>
    <t>MEX</t>
  </si>
  <si>
    <t>Kazakhstan</t>
  </si>
  <si>
    <t>KAZ</t>
  </si>
  <si>
    <t>Tunisia</t>
  </si>
  <si>
    <t>TUN</t>
  </si>
  <si>
    <t>St. Lucia</t>
  </si>
  <si>
    <t>LCA</t>
  </si>
  <si>
    <t>Brazil</t>
  </si>
  <si>
    <t>BRA</t>
  </si>
  <si>
    <t>Lebanon</t>
  </si>
  <si>
    <t>LBN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</si>
</sst>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_(* #,##0_);_(* \(#,##0\);_(* &quot;-&quot;??_);_(@_)"/>
    <numFmt numFmtId="165" formatCode="0.0"/>
    <numFmt numFmtId="166" formatCode="0.0%"/>
    <numFmt numFmtId="167" formatCode="####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6"/>
      <color theme="1"/>
      <name val="Calibri"/>
      <family val="2"/>
      <scheme val="minor"/>
    </font>
    <font>
      <sz val="16"/>
      <name val="Arial"/>
      <family val="2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Gill Sans MT"/>
      <family val="2"/>
    </font>
    <font>
      <b/>
      <sz val="14"/>
      <name val="Gill Sans MT"/>
      <family val="2"/>
    </font>
    <font>
      <sz val="10"/>
      <name val="Gill Sans MT"/>
      <family val="2"/>
    </font>
    <font>
      <b/>
      <sz val="10"/>
      <name val="Gill Sans MT"/>
      <family val="2"/>
    </font>
    <font>
      <b/>
      <sz val="10"/>
      <color indexed="8"/>
      <name val="Gill Sans MT"/>
      <family val="2"/>
    </font>
    <font>
      <sz val="10"/>
      <color indexed="8"/>
      <name val="Gill Sans MT"/>
      <family val="2"/>
    </font>
    <font>
      <u/>
      <sz val="11"/>
      <color theme="10"/>
      <name val="Calibri"/>
      <family val="2"/>
      <scheme val="minor"/>
    </font>
    <font>
      <b/>
      <sz val="10"/>
      <color theme="6" tint="0.39997558519241921"/>
      <name val="Gill Sans MT"/>
      <family val="2"/>
    </font>
    <font>
      <sz val="9"/>
      <color indexed="8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name val="Calibri"/>
      <family val="2"/>
      <scheme val="minor"/>
    </font>
    <font>
      <i/>
      <sz val="10"/>
      <name val="Gill Sans MT"/>
    </font>
    <font>
      <sz val="8"/>
      <name val="Verdana"/>
    </font>
  </fonts>
  <fills count="3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0" tint="-0.34998626667073579"/>
        <bgColor indexed="64"/>
      </patternFill>
    </fill>
  </fills>
  <borders count="38">
    <border>
      <left/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thick">
        <color auto="1"/>
      </left>
      <right style="thick">
        <color auto="1"/>
      </right>
      <top/>
      <bottom/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</borders>
  <cellStyleXfs count="9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9" borderId="0" applyNumberFormat="0" applyBorder="0" applyAlignment="0" applyProtection="0"/>
    <xf numFmtId="0" fontId="7" fillId="10" borderId="0" applyNumberFormat="0" applyBorder="0" applyAlignment="0" applyProtection="0"/>
    <xf numFmtId="0" fontId="8" fillId="11" borderId="0" applyNumberFormat="0" applyBorder="0" applyAlignment="0" applyProtection="0"/>
    <xf numFmtId="0" fontId="3" fillId="0" borderId="0"/>
    <xf numFmtId="0" fontId="16" fillId="0" borderId="0" applyNumberFormat="0" applyFill="0" applyBorder="0" applyAlignment="0" applyProtection="0"/>
    <xf numFmtId="0" fontId="3" fillId="0" borderId="0"/>
  </cellStyleXfs>
  <cellXfs count="358">
    <xf numFmtId="0" fontId="0" fillId="0" borderId="0" xfId="0"/>
    <xf numFmtId="0" fontId="2" fillId="0" borderId="0" xfId="0" applyFont="1"/>
    <xf numFmtId="0" fontId="3" fillId="0" borderId="0" xfId="0" applyFont="1"/>
    <xf numFmtId="164" fontId="3" fillId="3" borderId="0" xfId="1" applyNumberFormat="1" applyFont="1" applyFill="1"/>
    <xf numFmtId="0" fontId="3" fillId="3" borderId="0" xfId="0" applyFont="1" applyFill="1"/>
    <xf numFmtId="164" fontId="3" fillId="4" borderId="0" xfId="1" applyNumberFormat="1" applyFont="1" applyFill="1"/>
    <xf numFmtId="164" fontId="3" fillId="0" borderId="0" xfId="1" applyNumberFormat="1" applyFont="1" applyFill="1"/>
    <xf numFmtId="0" fontId="0" fillId="3" borderId="0" xfId="0" applyFill="1"/>
    <xf numFmtId="0" fontId="3" fillId="4" borderId="0" xfId="0" applyFont="1" applyFill="1"/>
    <xf numFmtId="164" fontId="0" fillId="0" borderId="0" xfId="1" applyNumberFormat="1" applyFont="1" applyFill="1"/>
    <xf numFmtId="0" fontId="3" fillId="5" borderId="0" xfId="0" applyFont="1" applyFill="1"/>
    <xf numFmtId="164" fontId="0" fillId="5" borderId="0" xfId="1" applyNumberFormat="1" applyFont="1" applyFill="1"/>
    <xf numFmtId="164" fontId="3" fillId="5" borderId="0" xfId="1" applyNumberFormat="1" applyFont="1" applyFill="1"/>
    <xf numFmtId="0" fontId="0" fillId="4" borderId="0" xfId="0" applyFill="1"/>
    <xf numFmtId="164" fontId="3" fillId="7" borderId="0" xfId="1" applyNumberFormat="1" applyFont="1" applyFill="1"/>
    <xf numFmtId="0" fontId="3" fillId="7" borderId="0" xfId="0" applyFont="1" applyFill="1"/>
    <xf numFmtId="164" fontId="0" fillId="7" borderId="0" xfId="1" applyNumberFormat="1" applyFont="1" applyFill="1"/>
    <xf numFmtId="0" fontId="0" fillId="7" borderId="0" xfId="0" applyFill="1"/>
    <xf numFmtId="164" fontId="0" fillId="5" borderId="0" xfId="0" applyNumberFormat="1" applyFill="1"/>
    <xf numFmtId="164" fontId="3" fillId="0" borderId="0" xfId="1" applyNumberFormat="1" applyFont="1"/>
    <xf numFmtId="43" fontId="0" fillId="0" borderId="0" xfId="1" applyFont="1"/>
    <xf numFmtId="43" fontId="0" fillId="3" borderId="0" xfId="0" applyNumberFormat="1" applyFill="1"/>
    <xf numFmtId="43" fontId="0" fillId="7" borderId="0" xfId="0" applyNumberFormat="1" applyFill="1"/>
    <xf numFmtId="0" fontId="0" fillId="2" borderId="0" xfId="0" applyFill="1"/>
    <xf numFmtId="0" fontId="3" fillId="2" borderId="0" xfId="0" applyFont="1" applyFill="1"/>
    <xf numFmtId="0" fontId="0" fillId="0" borderId="0" xfId="0" applyFill="1"/>
    <xf numFmtId="0" fontId="3" fillId="0" borderId="0" xfId="0" applyFont="1" applyFill="1"/>
    <xf numFmtId="0" fontId="0" fillId="5" borderId="0" xfId="0" applyFill="1"/>
    <xf numFmtId="0" fontId="0" fillId="6" borderId="0" xfId="0" applyFill="1"/>
    <xf numFmtId="0" fontId="0" fillId="8" borderId="0" xfId="0" applyFill="1"/>
    <xf numFmtId="2" fontId="0" fillId="5" borderId="0" xfId="0" applyNumberFormat="1" applyFill="1"/>
    <xf numFmtId="2" fontId="0" fillId="0" borderId="0" xfId="0" applyNumberFormat="1"/>
    <xf numFmtId="2" fontId="0" fillId="3" borderId="0" xfId="0" applyNumberFormat="1" applyFill="1"/>
    <xf numFmtId="2" fontId="0" fillId="7" borderId="0" xfId="0" applyNumberFormat="1" applyFill="1"/>
    <xf numFmtId="0" fontId="4" fillId="0" borderId="0" xfId="0" applyFont="1"/>
    <xf numFmtId="0" fontId="5" fillId="0" borderId="0" xfId="0" applyFont="1"/>
    <xf numFmtId="0" fontId="10" fillId="12" borderId="0" xfId="0" applyFont="1" applyFill="1" applyBorder="1"/>
    <xf numFmtId="0" fontId="10" fillId="12" borderId="0" xfId="0" applyFont="1" applyFill="1" applyBorder="1" applyAlignment="1">
      <alignment horizontal="center"/>
    </xf>
    <xf numFmtId="0" fontId="10" fillId="12" borderId="0" xfId="0" applyFont="1" applyFill="1"/>
    <xf numFmtId="0" fontId="10" fillId="12" borderId="0" xfId="0" applyFont="1" applyFill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/>
    </xf>
    <xf numFmtId="15" fontId="11" fillId="2" borderId="2" xfId="0" quotePrefix="1" applyNumberFormat="1" applyFont="1" applyFill="1" applyBorder="1" applyAlignment="1">
      <alignment horizontal="center"/>
    </xf>
    <xf numFmtId="15" fontId="10" fillId="2" borderId="2" xfId="0" quotePrefix="1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horizontal="center"/>
    </xf>
    <xf numFmtId="0" fontId="10" fillId="2" borderId="2" xfId="0" applyFont="1" applyFill="1" applyBorder="1" applyAlignment="1">
      <alignment horizontal="left"/>
    </xf>
    <xf numFmtId="0" fontId="10" fillId="2" borderId="3" xfId="0" applyFont="1" applyFill="1" applyBorder="1" applyAlignment="1">
      <alignment horizontal="center"/>
    </xf>
    <xf numFmtId="0" fontId="12" fillId="0" borderId="0" xfId="6" applyFont="1"/>
    <xf numFmtId="0" fontId="13" fillId="13" borderId="8" xfId="6" applyFont="1" applyFill="1" applyBorder="1" applyAlignment="1">
      <alignment vertical="center" wrapText="1"/>
    </xf>
    <xf numFmtId="0" fontId="14" fillId="14" borderId="9" xfId="6" applyFont="1" applyFill="1" applyBorder="1" applyAlignment="1">
      <alignment vertical="center" wrapText="1"/>
    </xf>
    <xf numFmtId="0" fontId="15" fillId="14" borderId="11" xfId="6" applyFont="1" applyFill="1" applyBorder="1" applyAlignment="1">
      <alignment horizontal="center" vertical="center" wrapText="1"/>
    </xf>
    <xf numFmtId="0" fontId="14" fillId="14" borderId="5" xfId="6" applyFont="1" applyFill="1" applyBorder="1" applyAlignment="1">
      <alignment vertical="center" wrapText="1"/>
    </xf>
    <xf numFmtId="0" fontId="15" fillId="14" borderId="6" xfId="6" applyFont="1" applyFill="1" applyBorder="1" applyAlignment="1">
      <alignment horizontal="left" vertical="center" wrapText="1"/>
    </xf>
    <xf numFmtId="0" fontId="13" fillId="13" borderId="12" xfId="6" applyFont="1" applyFill="1" applyBorder="1" applyAlignment="1">
      <alignment vertical="center" wrapText="1"/>
    </xf>
    <xf numFmtId="0" fontId="14" fillId="3" borderId="5" xfId="6" applyFont="1" applyFill="1" applyBorder="1" applyAlignment="1">
      <alignment vertical="center" wrapText="1"/>
    </xf>
    <xf numFmtId="165" fontId="12" fillId="3" borderId="7" xfId="6" applyNumberFormat="1" applyFont="1" applyFill="1" applyBorder="1" applyAlignment="1">
      <alignment horizontal="center" vertical="center" wrapText="1"/>
    </xf>
    <xf numFmtId="9" fontId="15" fillId="3" borderId="6" xfId="6" applyNumberFormat="1" applyFont="1" applyFill="1" applyBorder="1" applyAlignment="1">
      <alignment horizontal="left" vertical="center" wrapText="1"/>
    </xf>
    <xf numFmtId="0" fontId="13" fillId="15" borderId="9" xfId="6" applyFont="1" applyFill="1" applyBorder="1" applyAlignment="1">
      <alignment vertical="center" wrapText="1"/>
    </xf>
    <xf numFmtId="0" fontId="12" fillId="15" borderId="11" xfId="6" applyFont="1" applyFill="1" applyBorder="1" applyAlignment="1">
      <alignment horizontal="center" vertical="center" wrapText="1"/>
    </xf>
    <xf numFmtId="0" fontId="14" fillId="15" borderId="5" xfId="6" applyFont="1" applyFill="1" applyBorder="1" applyAlignment="1">
      <alignment vertical="center" wrapText="1"/>
    </xf>
    <xf numFmtId="165" fontId="12" fillId="15" borderId="7" xfId="6" applyNumberFormat="1" applyFont="1" applyFill="1" applyBorder="1" applyAlignment="1">
      <alignment horizontal="center" vertical="center" wrapText="1"/>
    </xf>
    <xf numFmtId="9" fontId="15" fillId="15" borderId="6" xfId="6" applyNumberFormat="1" applyFont="1" applyFill="1" applyBorder="1" applyAlignment="1">
      <alignment horizontal="left" vertical="center" wrapText="1"/>
    </xf>
    <xf numFmtId="0" fontId="13" fillId="15" borderId="16" xfId="6" applyFont="1" applyFill="1" applyBorder="1" applyAlignment="1">
      <alignment vertical="center" wrapText="1"/>
    </xf>
    <xf numFmtId="0" fontId="12" fillId="15" borderId="18" xfId="6" applyFont="1" applyFill="1" applyBorder="1" applyAlignment="1">
      <alignment horizontal="center" vertical="center" wrapText="1"/>
    </xf>
    <xf numFmtId="0" fontId="12" fillId="0" borderId="0" xfId="6" applyFont="1" applyAlignment="1">
      <alignment wrapText="1"/>
    </xf>
    <xf numFmtId="0" fontId="12" fillId="0" borderId="22" xfId="6" applyFont="1" applyBorder="1" applyAlignment="1">
      <alignment wrapText="1"/>
    </xf>
    <xf numFmtId="0" fontId="12" fillId="0" borderId="15" xfId="6" applyFont="1" applyBorder="1" applyAlignment="1">
      <alignment horizontal="center" wrapText="1"/>
    </xf>
    <xf numFmtId="0" fontId="12" fillId="0" borderId="15" xfId="6" applyFont="1" applyBorder="1" applyAlignment="1">
      <alignment wrapText="1"/>
    </xf>
    <xf numFmtId="0" fontId="12" fillId="0" borderId="14" xfId="6" applyFont="1" applyBorder="1" applyAlignment="1">
      <alignment wrapText="1"/>
    </xf>
    <xf numFmtId="0" fontId="12" fillId="0" borderId="14" xfId="6" applyFont="1" applyBorder="1" applyAlignment="1">
      <alignment horizontal="center" wrapText="1"/>
    </xf>
    <xf numFmtId="0" fontId="16" fillId="14" borderId="7" xfId="7" applyFill="1" applyBorder="1" applyAlignment="1">
      <alignment vertical="center" wrapText="1"/>
    </xf>
    <xf numFmtId="0" fontId="16" fillId="3" borderId="7" xfId="7" applyFill="1" applyBorder="1" applyAlignment="1">
      <alignment vertical="center" wrapText="1"/>
    </xf>
    <xf numFmtId="0" fontId="16" fillId="15" borderId="7" xfId="7" applyFill="1" applyBorder="1" applyAlignment="1">
      <alignment vertical="center" wrapText="1"/>
    </xf>
    <xf numFmtId="0" fontId="14" fillId="15" borderId="9" xfId="6" applyFont="1" applyFill="1" applyBorder="1" applyAlignment="1">
      <alignment vertical="center" wrapText="1"/>
    </xf>
    <xf numFmtId="165" fontId="12" fillId="15" borderId="10" xfId="6" applyNumberFormat="1" applyFont="1" applyFill="1" applyBorder="1" applyAlignment="1">
      <alignment horizontal="center" vertical="center" wrapText="1"/>
    </xf>
    <xf numFmtId="0" fontId="16" fillId="15" borderId="10" xfId="7" applyFill="1" applyBorder="1" applyAlignment="1">
      <alignment vertical="center" wrapText="1"/>
    </xf>
    <xf numFmtId="9" fontId="15" fillId="15" borderId="11" xfId="6" applyNumberFormat="1" applyFont="1" applyFill="1" applyBorder="1" applyAlignment="1">
      <alignment horizontal="left" vertical="center" wrapText="1"/>
    </xf>
    <xf numFmtId="0" fontId="12" fillId="4" borderId="14" xfId="6" applyFont="1" applyFill="1" applyBorder="1" applyAlignment="1">
      <alignment vertical="center" wrapText="1"/>
    </xf>
    <xf numFmtId="0" fontId="12" fillId="4" borderId="14" xfId="6" applyFont="1" applyFill="1" applyBorder="1" applyAlignment="1">
      <alignment horizontal="center" vertical="center" wrapText="1"/>
    </xf>
    <xf numFmtId="0" fontId="12" fillId="4" borderId="19" xfId="6" applyFont="1" applyFill="1" applyBorder="1" applyAlignment="1">
      <alignment horizontal="center" vertical="center" wrapText="1"/>
    </xf>
    <xf numFmtId="0" fontId="12" fillId="6" borderId="14" xfId="6" applyFont="1" applyFill="1" applyBorder="1" applyAlignment="1">
      <alignment vertical="center" wrapText="1"/>
    </xf>
    <xf numFmtId="0" fontId="12" fillId="6" borderId="15" xfId="6" applyFont="1" applyFill="1" applyBorder="1" applyAlignment="1">
      <alignment horizontal="center" vertical="center" wrapText="1"/>
    </xf>
    <xf numFmtId="0" fontId="15" fillId="8" borderId="10" xfId="6" applyFont="1" applyFill="1" applyBorder="1" applyAlignment="1">
      <alignment vertical="center" wrapText="1"/>
    </xf>
    <xf numFmtId="0" fontId="15" fillId="8" borderId="10" xfId="6" applyFont="1" applyFill="1" applyBorder="1" applyAlignment="1">
      <alignment horizontal="center" vertical="center" wrapText="1"/>
    </xf>
    <xf numFmtId="0" fontId="12" fillId="2" borderId="10" xfId="6" applyFont="1" applyFill="1" applyBorder="1" applyAlignment="1">
      <alignment vertical="center" wrapText="1"/>
    </xf>
    <xf numFmtId="0" fontId="12" fillId="2" borderId="25" xfId="6" applyFont="1" applyFill="1" applyBorder="1" applyAlignment="1">
      <alignment horizontal="center" vertical="center" wrapText="1"/>
    </xf>
    <xf numFmtId="0" fontId="12" fillId="2" borderId="17" xfId="6" applyFont="1" applyFill="1" applyBorder="1" applyAlignment="1">
      <alignment vertical="center" wrapText="1"/>
    </xf>
    <xf numFmtId="0" fontId="12" fillId="2" borderId="26" xfId="6" applyFont="1" applyFill="1" applyBorder="1" applyAlignment="1">
      <alignment horizontal="center" vertical="center" wrapText="1"/>
    </xf>
    <xf numFmtId="0" fontId="12" fillId="8" borderId="17" xfId="6" applyFont="1" applyFill="1" applyBorder="1" applyAlignment="1">
      <alignment vertical="center" wrapText="1"/>
    </xf>
    <xf numFmtId="0" fontId="12" fillId="8" borderId="26" xfId="6" applyFont="1" applyFill="1" applyBorder="1" applyAlignment="1">
      <alignment horizontal="center" vertical="center" wrapText="1"/>
    </xf>
    <xf numFmtId="0" fontId="13" fillId="3" borderId="5" xfId="6" applyFont="1" applyFill="1" applyBorder="1" applyAlignment="1">
      <alignment vertical="center" wrapText="1"/>
    </xf>
    <xf numFmtId="0" fontId="12" fillId="3" borderId="6" xfId="6" applyFont="1" applyFill="1" applyBorder="1" applyAlignment="1">
      <alignment horizontal="center" vertical="center" wrapText="1"/>
    </xf>
    <xf numFmtId="0" fontId="13" fillId="21" borderId="13" xfId="6" applyFont="1" applyFill="1" applyBorder="1" applyAlignment="1">
      <alignment vertical="center" wrapText="1"/>
    </xf>
    <xf numFmtId="0" fontId="12" fillId="21" borderId="19" xfId="6" applyFont="1" applyFill="1" applyBorder="1" applyAlignment="1">
      <alignment horizontal="center" vertical="center" wrapText="1"/>
    </xf>
    <xf numFmtId="0" fontId="14" fillId="21" borderId="13" xfId="6" applyFont="1" applyFill="1" applyBorder="1" applyAlignment="1">
      <alignment vertical="center" wrapText="1"/>
    </xf>
    <xf numFmtId="165" fontId="12" fillId="21" borderId="17" xfId="6" applyNumberFormat="1" applyFont="1" applyFill="1" applyBorder="1" applyAlignment="1">
      <alignment horizontal="center" vertical="center" wrapText="1"/>
    </xf>
    <xf numFmtId="0" fontId="16" fillId="21" borderId="17" xfId="7" applyFill="1" applyBorder="1" applyAlignment="1">
      <alignment vertical="center" wrapText="1"/>
    </xf>
    <xf numFmtId="9" fontId="15" fillId="21" borderId="18" xfId="6" applyNumberFormat="1" applyFont="1" applyFill="1" applyBorder="1" applyAlignment="1">
      <alignment horizontal="left" vertical="center" wrapText="1"/>
    </xf>
    <xf numFmtId="0" fontId="14" fillId="23" borderId="5" xfId="6" applyFont="1" applyFill="1" applyBorder="1" applyAlignment="1">
      <alignment vertical="center" wrapText="1"/>
    </xf>
    <xf numFmtId="165" fontId="12" fillId="23" borderId="7" xfId="6" applyNumberFormat="1" applyFont="1" applyFill="1" applyBorder="1" applyAlignment="1">
      <alignment horizontal="center" vertical="center" wrapText="1"/>
    </xf>
    <xf numFmtId="0" fontId="16" fillId="23" borderId="7" xfId="7" applyFill="1" applyBorder="1" applyAlignment="1">
      <alignment vertical="center" wrapText="1"/>
    </xf>
    <xf numFmtId="9" fontId="15" fillId="23" borderId="6" xfId="6" applyNumberFormat="1" applyFont="1" applyFill="1" applyBorder="1" applyAlignment="1">
      <alignment horizontal="left" vertical="center" wrapText="1"/>
    </xf>
    <xf numFmtId="0" fontId="13" fillId="24" borderId="9" xfId="6" applyFont="1" applyFill="1" applyBorder="1" applyAlignment="1">
      <alignment vertical="center" wrapText="1"/>
    </xf>
    <xf numFmtId="0" fontId="12" fillId="24" borderId="11" xfId="6" applyFont="1" applyFill="1" applyBorder="1" applyAlignment="1">
      <alignment horizontal="center" vertical="center" wrapText="1"/>
    </xf>
    <xf numFmtId="0" fontId="14" fillId="24" borderId="5" xfId="6" applyFont="1" applyFill="1" applyBorder="1" applyAlignment="1">
      <alignment vertical="center" wrapText="1"/>
    </xf>
    <xf numFmtId="165" fontId="12" fillId="24" borderId="7" xfId="6" applyNumberFormat="1" applyFont="1" applyFill="1" applyBorder="1" applyAlignment="1">
      <alignment horizontal="center" vertical="center" wrapText="1"/>
    </xf>
    <xf numFmtId="0" fontId="15" fillId="24" borderId="7" xfId="6" applyFont="1" applyFill="1" applyBorder="1" applyAlignment="1">
      <alignment vertical="center" wrapText="1"/>
    </xf>
    <xf numFmtId="9" fontId="15" fillId="24" borderId="6" xfId="6" applyNumberFormat="1" applyFont="1" applyFill="1" applyBorder="1" applyAlignment="1">
      <alignment horizontal="left" vertical="center" wrapText="1"/>
    </xf>
    <xf numFmtId="0" fontId="13" fillId="24" borderId="5" xfId="6" applyFont="1" applyFill="1" applyBorder="1" applyAlignment="1">
      <alignment vertical="center" wrapText="1"/>
    </xf>
    <xf numFmtId="0" fontId="12" fillId="24" borderId="27" xfId="6" applyFont="1" applyFill="1" applyBorder="1" applyAlignment="1">
      <alignment horizontal="center" vertical="center" wrapText="1"/>
    </xf>
    <xf numFmtId="165" fontId="12" fillId="24" borderId="10" xfId="6" applyNumberFormat="1" applyFont="1" applyFill="1" applyBorder="1" applyAlignment="1">
      <alignment horizontal="center" vertical="center" wrapText="1"/>
    </xf>
    <xf numFmtId="0" fontId="15" fillId="24" borderId="10" xfId="6" applyFont="1" applyFill="1" applyBorder="1" applyAlignment="1">
      <alignment vertical="center" wrapText="1"/>
    </xf>
    <xf numFmtId="9" fontId="15" fillId="24" borderId="11" xfId="6" applyNumberFormat="1" applyFont="1" applyFill="1" applyBorder="1" applyAlignment="1">
      <alignment horizontal="left" vertical="center" wrapText="1"/>
    </xf>
    <xf numFmtId="0" fontId="12" fillId="24" borderId="6" xfId="6" applyFont="1" applyFill="1" applyBorder="1" applyAlignment="1">
      <alignment horizontal="center" vertical="center" wrapText="1"/>
    </xf>
    <xf numFmtId="0" fontId="13" fillId="13" borderId="32" xfId="6" applyFont="1" applyFill="1" applyBorder="1" applyAlignment="1">
      <alignment vertical="center" wrapText="1"/>
    </xf>
    <xf numFmtId="0" fontId="17" fillId="27" borderId="4" xfId="6" applyFont="1" applyFill="1" applyBorder="1" applyAlignment="1">
      <alignment vertical="center" wrapText="1"/>
    </xf>
    <xf numFmtId="0" fontId="17" fillId="27" borderId="5" xfId="6" applyFont="1" applyFill="1" applyBorder="1" applyAlignment="1">
      <alignment vertical="center" wrapText="1"/>
    </xf>
    <xf numFmtId="0" fontId="17" fillId="27" borderId="6" xfId="6" applyFont="1" applyFill="1" applyBorder="1" applyAlignment="1">
      <alignment horizontal="left" vertical="center" wrapText="1"/>
    </xf>
    <xf numFmtId="0" fontId="17" fillId="27" borderId="7" xfId="6" applyFont="1" applyFill="1" applyBorder="1" applyAlignment="1">
      <alignment horizontal="left" vertical="center" wrapText="1"/>
    </xf>
    <xf numFmtId="0" fontId="17" fillId="27" borderId="7" xfId="6" applyFont="1" applyFill="1" applyBorder="1" applyAlignment="1">
      <alignment vertical="center" wrapText="1"/>
    </xf>
    <xf numFmtId="0" fontId="14" fillId="17" borderId="28" xfId="6" applyFont="1" applyFill="1" applyBorder="1" applyAlignment="1">
      <alignment vertical="center" wrapText="1"/>
    </xf>
    <xf numFmtId="165" fontId="12" fillId="17" borderId="17" xfId="6" applyNumberFormat="1" applyFont="1" applyFill="1" applyBorder="1" applyAlignment="1">
      <alignment horizontal="center" vertical="center" wrapText="1"/>
    </xf>
    <xf numFmtId="0" fontId="16" fillId="17" borderId="17" xfId="7" applyFill="1" applyBorder="1" applyAlignment="1">
      <alignment vertical="center" wrapText="1"/>
    </xf>
    <xf numFmtId="9" fontId="15" fillId="17" borderId="18" xfId="6" applyNumberFormat="1" applyFont="1" applyFill="1" applyBorder="1" applyAlignment="1">
      <alignment horizontal="left" vertical="center" wrapText="1"/>
    </xf>
    <xf numFmtId="0" fontId="13" fillId="17" borderId="31" xfId="6" applyFont="1" applyFill="1" applyBorder="1" applyAlignment="1">
      <alignment vertical="center" wrapText="1"/>
    </xf>
    <xf numFmtId="0" fontId="12" fillId="17" borderId="21" xfId="6" applyFont="1" applyFill="1" applyBorder="1" applyAlignment="1">
      <alignment horizontal="center" vertical="center" wrapText="1"/>
    </xf>
    <xf numFmtId="0" fontId="14" fillId="17" borderId="29" xfId="6" applyFont="1" applyFill="1" applyBorder="1" applyAlignment="1">
      <alignment vertical="center" wrapText="1"/>
    </xf>
    <xf numFmtId="165" fontId="12" fillId="17" borderId="7" xfId="6" applyNumberFormat="1" applyFont="1" applyFill="1" applyBorder="1" applyAlignment="1">
      <alignment horizontal="center" vertical="center" wrapText="1"/>
    </xf>
    <xf numFmtId="0" fontId="16" fillId="17" borderId="7" xfId="7" applyFill="1" applyBorder="1" applyAlignment="1">
      <alignment vertical="center" wrapText="1"/>
    </xf>
    <xf numFmtId="9" fontId="15" fillId="17" borderId="6" xfId="6" applyNumberFormat="1" applyFont="1" applyFill="1" applyBorder="1" applyAlignment="1">
      <alignment horizontal="left" vertical="center" wrapText="1"/>
    </xf>
    <xf numFmtId="0" fontId="13" fillId="28" borderId="13" xfId="6" applyFont="1" applyFill="1" applyBorder="1" applyAlignment="1">
      <alignment vertical="center" wrapText="1"/>
    </xf>
    <xf numFmtId="0" fontId="12" fillId="28" borderId="19" xfId="6" applyFont="1" applyFill="1" applyBorder="1" applyAlignment="1">
      <alignment horizontal="center" vertical="center" wrapText="1"/>
    </xf>
    <xf numFmtId="0" fontId="14" fillId="28" borderId="5" xfId="6" applyFont="1" applyFill="1" applyBorder="1" applyAlignment="1">
      <alignment vertical="center" wrapText="1"/>
    </xf>
    <xf numFmtId="165" fontId="12" fillId="28" borderId="7" xfId="6" applyNumberFormat="1" applyFont="1" applyFill="1" applyBorder="1" applyAlignment="1">
      <alignment horizontal="center" vertical="center" wrapText="1"/>
    </xf>
    <xf numFmtId="0" fontId="16" fillId="28" borderId="7" xfId="7" applyFill="1" applyBorder="1" applyAlignment="1">
      <alignment vertical="center" wrapText="1"/>
    </xf>
    <xf numFmtId="9" fontId="15" fillId="28" borderId="6" xfId="6" applyNumberFormat="1" applyFont="1" applyFill="1" applyBorder="1" applyAlignment="1">
      <alignment horizontal="left" vertical="center" wrapText="1"/>
    </xf>
    <xf numFmtId="0" fontId="13" fillId="28" borderId="16" xfId="6" applyFont="1" applyFill="1" applyBorder="1" applyAlignment="1">
      <alignment vertical="center" wrapText="1"/>
    </xf>
    <xf numFmtId="0" fontId="12" fillId="28" borderId="18" xfId="6" applyFont="1" applyFill="1" applyBorder="1" applyAlignment="1">
      <alignment horizontal="center" vertical="center" wrapText="1"/>
    </xf>
    <xf numFmtId="0" fontId="14" fillId="28" borderId="9" xfId="6" applyFont="1" applyFill="1" applyBorder="1" applyAlignment="1">
      <alignment vertical="center" wrapText="1"/>
    </xf>
    <xf numFmtId="0" fontId="13" fillId="19" borderId="5" xfId="6" applyFont="1" applyFill="1" applyBorder="1" applyAlignment="1">
      <alignment vertical="center" wrapText="1"/>
    </xf>
    <xf numFmtId="0" fontId="12" fillId="19" borderId="6" xfId="6" applyFont="1" applyFill="1" applyBorder="1" applyAlignment="1">
      <alignment horizontal="center" vertical="center" wrapText="1"/>
    </xf>
    <xf numFmtId="0" fontId="14" fillId="19" borderId="5" xfId="6" applyFont="1" applyFill="1" applyBorder="1" applyAlignment="1">
      <alignment vertical="center" wrapText="1"/>
    </xf>
    <xf numFmtId="165" fontId="12" fillId="19" borderId="7" xfId="6" applyNumberFormat="1" applyFont="1" applyFill="1" applyBorder="1" applyAlignment="1">
      <alignment horizontal="center" vertical="center" wrapText="1"/>
    </xf>
    <xf numFmtId="0" fontId="16" fillId="19" borderId="7" xfId="7" applyFill="1" applyBorder="1" applyAlignment="1">
      <alignment vertical="center" wrapText="1"/>
    </xf>
    <xf numFmtId="9" fontId="15" fillId="19" borderId="6" xfId="6" applyNumberFormat="1" applyFont="1" applyFill="1" applyBorder="1" applyAlignment="1">
      <alignment horizontal="left" vertical="center" wrapText="1"/>
    </xf>
    <xf numFmtId="0" fontId="13" fillId="29" borderId="16" xfId="6" applyFont="1" applyFill="1" applyBorder="1" applyAlignment="1">
      <alignment vertical="center" wrapText="1"/>
    </xf>
    <xf numFmtId="0" fontId="12" fillId="29" borderId="26" xfId="6" applyFont="1" applyFill="1" applyBorder="1" applyAlignment="1">
      <alignment horizontal="center" vertical="center" wrapText="1"/>
    </xf>
    <xf numFmtId="0" fontId="14" fillId="29" borderId="5" xfId="6" applyFont="1" applyFill="1" applyBorder="1" applyAlignment="1">
      <alignment vertical="center" wrapText="1"/>
    </xf>
    <xf numFmtId="165" fontId="12" fillId="29" borderId="7" xfId="6" applyNumberFormat="1" applyFont="1" applyFill="1" applyBorder="1" applyAlignment="1">
      <alignment horizontal="center" vertical="center" wrapText="1"/>
    </xf>
    <xf numFmtId="0" fontId="16" fillId="29" borderId="7" xfId="7" applyFill="1" applyBorder="1" applyAlignment="1">
      <alignment vertical="center" wrapText="1"/>
    </xf>
    <xf numFmtId="9" fontId="15" fillId="29" borderId="6" xfId="6" applyNumberFormat="1" applyFont="1" applyFill="1" applyBorder="1" applyAlignment="1">
      <alignment horizontal="left" vertical="center" wrapText="1"/>
    </xf>
    <xf numFmtId="0" fontId="13" fillId="30" borderId="13" xfId="6" applyFont="1" applyFill="1" applyBorder="1" applyAlignment="1">
      <alignment vertical="center" wrapText="1"/>
    </xf>
    <xf numFmtId="0" fontId="12" fillId="30" borderId="15" xfId="6" applyFont="1" applyFill="1" applyBorder="1" applyAlignment="1">
      <alignment horizontal="center" vertical="center" wrapText="1"/>
    </xf>
    <xf numFmtId="0" fontId="14" fillId="30" borderId="16" xfId="6" applyFont="1" applyFill="1" applyBorder="1" applyAlignment="1">
      <alignment vertical="center" wrapText="1"/>
    </xf>
    <xf numFmtId="165" fontId="12" fillId="30" borderId="17" xfId="6" applyNumberFormat="1" applyFont="1" applyFill="1" applyBorder="1" applyAlignment="1">
      <alignment horizontal="center" vertical="center" wrapText="1"/>
    </xf>
    <xf numFmtId="0" fontId="16" fillId="30" borderId="17" xfId="7" applyFill="1" applyBorder="1" applyAlignment="1">
      <alignment vertical="center" wrapText="1"/>
    </xf>
    <xf numFmtId="9" fontId="15" fillId="30" borderId="18" xfId="6" applyNumberFormat="1" applyFont="1" applyFill="1" applyBorder="1" applyAlignment="1">
      <alignment horizontal="left" vertical="center" wrapText="1"/>
    </xf>
    <xf numFmtId="0" fontId="13" fillId="17" borderId="9" xfId="6" applyFont="1" applyFill="1" applyBorder="1" applyAlignment="1">
      <alignment vertical="center" wrapText="1"/>
    </xf>
    <xf numFmtId="0" fontId="12" fillId="17" borderId="11" xfId="6" applyFont="1" applyFill="1" applyBorder="1" applyAlignment="1">
      <alignment horizontal="center" vertical="center" wrapText="1"/>
    </xf>
    <xf numFmtId="0" fontId="14" fillId="17" borderId="5" xfId="6" applyFont="1" applyFill="1" applyBorder="1" applyAlignment="1">
      <alignment vertical="center" wrapText="1"/>
    </xf>
    <xf numFmtId="0" fontId="13" fillId="17" borderId="16" xfId="6" applyFont="1" applyFill="1" applyBorder="1" applyAlignment="1">
      <alignment vertical="center" wrapText="1"/>
    </xf>
    <xf numFmtId="0" fontId="12" fillId="17" borderId="18" xfId="6" applyFont="1" applyFill="1" applyBorder="1" applyAlignment="1">
      <alignment horizontal="center" vertical="center" wrapText="1"/>
    </xf>
    <xf numFmtId="0" fontId="13" fillId="31" borderId="9" xfId="6" applyFont="1" applyFill="1" applyBorder="1" applyAlignment="1">
      <alignment vertical="center" wrapText="1"/>
    </xf>
    <xf numFmtId="0" fontId="12" fillId="31" borderId="11" xfId="6" applyFont="1" applyFill="1" applyBorder="1" applyAlignment="1">
      <alignment horizontal="center" vertical="center" wrapText="1"/>
    </xf>
    <xf numFmtId="0" fontId="14" fillId="31" borderId="5" xfId="6" applyFont="1" applyFill="1" applyBorder="1" applyAlignment="1">
      <alignment vertical="center" wrapText="1"/>
    </xf>
    <xf numFmtId="165" fontId="12" fillId="31" borderId="7" xfId="6" applyNumberFormat="1" applyFont="1" applyFill="1" applyBorder="1" applyAlignment="1">
      <alignment horizontal="center" vertical="center" wrapText="1"/>
    </xf>
    <xf numFmtId="0" fontId="16" fillId="31" borderId="7" xfId="7" applyFill="1" applyBorder="1" applyAlignment="1">
      <alignment vertical="center" wrapText="1"/>
    </xf>
    <xf numFmtId="9" fontId="15" fillId="31" borderId="6" xfId="6" applyNumberFormat="1" applyFont="1" applyFill="1" applyBorder="1" applyAlignment="1">
      <alignment horizontal="left" vertical="center" wrapText="1"/>
    </xf>
    <xf numFmtId="0" fontId="13" fillId="31" borderId="16" xfId="6" applyFont="1" applyFill="1" applyBorder="1" applyAlignment="1">
      <alignment vertical="center" wrapText="1"/>
    </xf>
    <xf numFmtId="0" fontId="12" fillId="31" borderId="18" xfId="6" applyFont="1" applyFill="1" applyBorder="1" applyAlignment="1">
      <alignment horizontal="center" vertical="center" wrapText="1"/>
    </xf>
    <xf numFmtId="0" fontId="12" fillId="30" borderId="14" xfId="6" applyFont="1" applyFill="1" applyBorder="1" applyAlignment="1">
      <alignment vertical="center" wrapText="1"/>
    </xf>
    <xf numFmtId="0" fontId="12" fillId="20" borderId="14" xfId="6" applyFont="1" applyFill="1" applyBorder="1" applyAlignment="1">
      <alignment vertical="center" wrapText="1"/>
    </xf>
    <xf numFmtId="0" fontId="12" fillId="20" borderId="15" xfId="6" applyFont="1" applyFill="1" applyBorder="1" applyAlignment="1">
      <alignment horizontal="center" vertical="center" wrapText="1"/>
    </xf>
    <xf numFmtId="0" fontId="12" fillId="20" borderId="17" xfId="6" applyFont="1" applyFill="1" applyBorder="1" applyAlignment="1">
      <alignment vertical="center" wrapText="1"/>
    </xf>
    <xf numFmtId="0" fontId="12" fillId="20" borderId="26" xfId="6" applyFont="1" applyFill="1" applyBorder="1" applyAlignment="1">
      <alignment horizontal="center" vertical="center" wrapText="1"/>
    </xf>
    <xf numFmtId="0" fontId="13" fillId="25" borderId="5" xfId="6" applyFont="1" applyFill="1" applyBorder="1" applyAlignment="1">
      <alignment vertical="center" wrapText="1"/>
    </xf>
    <xf numFmtId="0" fontId="12" fillId="25" borderId="6" xfId="6" applyFont="1" applyFill="1" applyBorder="1" applyAlignment="1">
      <alignment horizontal="center" vertical="center" wrapText="1"/>
    </xf>
    <xf numFmtId="0" fontId="14" fillId="25" borderId="5" xfId="6" applyFont="1" applyFill="1" applyBorder="1" applyAlignment="1">
      <alignment vertical="center" wrapText="1"/>
    </xf>
    <xf numFmtId="165" fontId="12" fillId="25" borderId="7" xfId="6" applyNumberFormat="1" applyFont="1" applyFill="1" applyBorder="1" applyAlignment="1">
      <alignment horizontal="center" vertical="center" wrapText="1"/>
    </xf>
    <xf numFmtId="0" fontId="16" fillId="25" borderId="7" xfId="7" applyFill="1" applyBorder="1" applyAlignment="1">
      <alignment vertical="center" wrapText="1"/>
    </xf>
    <xf numFmtId="9" fontId="15" fillId="25" borderId="6" xfId="6" applyNumberFormat="1" applyFont="1" applyFill="1" applyBorder="1" applyAlignment="1">
      <alignment horizontal="left" vertical="center" wrapText="1"/>
    </xf>
    <xf numFmtId="0" fontId="12" fillId="32" borderId="7" xfId="6" applyFont="1" applyFill="1" applyBorder="1" applyAlignment="1">
      <alignment vertical="center" wrapText="1"/>
    </xf>
    <xf numFmtId="0" fontId="12" fillId="32" borderId="27" xfId="6" applyFont="1" applyFill="1" applyBorder="1" applyAlignment="1">
      <alignment horizontal="center" vertical="center" wrapText="1"/>
    </xf>
    <xf numFmtId="0" fontId="13" fillId="32" borderId="5" xfId="6" applyFont="1" applyFill="1" applyBorder="1" applyAlignment="1">
      <alignment vertical="center" wrapText="1"/>
    </xf>
    <xf numFmtId="0" fontId="12" fillId="32" borderId="6" xfId="6" applyFont="1" applyFill="1" applyBorder="1" applyAlignment="1">
      <alignment horizontal="center" vertical="center" wrapText="1"/>
    </xf>
    <xf numFmtId="0" fontId="14" fillId="32" borderId="16" xfId="6" applyFont="1" applyFill="1" applyBorder="1" applyAlignment="1">
      <alignment vertical="center" wrapText="1"/>
    </xf>
    <xf numFmtId="165" fontId="12" fillId="32" borderId="17" xfId="6" applyNumberFormat="1" applyFont="1" applyFill="1" applyBorder="1" applyAlignment="1">
      <alignment horizontal="center" vertical="center" wrapText="1"/>
    </xf>
    <xf numFmtId="0" fontId="16" fillId="32" borderId="17" xfId="7" applyFill="1" applyBorder="1" applyAlignment="1">
      <alignment vertical="center" wrapText="1"/>
    </xf>
    <xf numFmtId="9" fontId="15" fillId="32" borderId="18" xfId="6" applyNumberFormat="1" applyFont="1" applyFill="1" applyBorder="1" applyAlignment="1">
      <alignment horizontal="left" vertical="center" wrapText="1"/>
    </xf>
    <xf numFmtId="0" fontId="12" fillId="26" borderId="7" xfId="6" applyFont="1" applyFill="1" applyBorder="1" applyAlignment="1">
      <alignment vertical="center" wrapText="1"/>
    </xf>
    <xf numFmtId="0" fontId="12" fillId="26" borderId="27" xfId="6" applyFont="1" applyFill="1" applyBorder="1" applyAlignment="1">
      <alignment horizontal="center" vertical="center" wrapText="1"/>
    </xf>
    <xf numFmtId="0" fontId="13" fillId="26" borderId="5" xfId="6" applyFont="1" applyFill="1" applyBorder="1" applyAlignment="1">
      <alignment vertical="center" wrapText="1"/>
    </xf>
    <xf numFmtId="0" fontId="12" fillId="26" borderId="18" xfId="6" applyFont="1" applyFill="1" applyBorder="1" applyAlignment="1">
      <alignment horizontal="center" vertical="center" wrapText="1"/>
    </xf>
    <xf numFmtId="0" fontId="14" fillId="26" borderId="5" xfId="6" applyFont="1" applyFill="1" applyBorder="1" applyAlignment="1">
      <alignment vertical="center" wrapText="1"/>
    </xf>
    <xf numFmtId="165" fontId="12" fillId="26" borderId="7" xfId="6" applyNumberFormat="1" applyFont="1" applyFill="1" applyBorder="1" applyAlignment="1">
      <alignment horizontal="center" vertical="center" wrapText="1"/>
    </xf>
    <xf numFmtId="0" fontId="16" fillId="26" borderId="7" xfId="7" applyFill="1" applyBorder="1" applyAlignment="1">
      <alignment vertical="center" wrapText="1"/>
    </xf>
    <xf numFmtId="9" fontId="15" fillId="26" borderId="6" xfId="6" applyNumberFormat="1" applyFont="1" applyFill="1" applyBorder="1" applyAlignment="1">
      <alignment horizontal="left" vertical="center" wrapText="1"/>
    </xf>
    <xf numFmtId="0" fontId="14" fillId="33" borderId="9" xfId="6" applyFont="1" applyFill="1" applyBorder="1" applyAlignment="1">
      <alignment vertical="center" wrapText="1"/>
    </xf>
    <xf numFmtId="0" fontId="13" fillId="33" borderId="13" xfId="6" applyFont="1" applyFill="1" applyBorder="1" applyAlignment="1">
      <alignment vertical="center" wrapText="1"/>
    </xf>
    <xf numFmtId="0" fontId="13" fillId="34" borderId="9" xfId="6" applyFont="1" applyFill="1" applyBorder="1" applyAlignment="1">
      <alignment vertical="center" wrapText="1"/>
    </xf>
    <xf numFmtId="0" fontId="13" fillId="34" borderId="13" xfId="6" applyFont="1" applyFill="1" applyBorder="1" applyAlignment="1">
      <alignment vertical="center" wrapText="1"/>
    </xf>
    <xf numFmtId="0" fontId="13" fillId="35" borderId="13" xfId="6" applyFont="1" applyFill="1" applyBorder="1" applyAlignment="1">
      <alignment vertical="center" wrapText="1"/>
    </xf>
    <xf numFmtId="0" fontId="13" fillId="35" borderId="16" xfId="6" applyFont="1" applyFill="1" applyBorder="1" applyAlignment="1">
      <alignment vertical="center" wrapText="1"/>
    </xf>
    <xf numFmtId="0" fontId="12" fillId="4" borderId="15" xfId="6" applyFont="1" applyFill="1" applyBorder="1" applyAlignment="1">
      <alignment horizontal="center" vertical="center" wrapText="1"/>
    </xf>
    <xf numFmtId="0" fontId="13" fillId="17" borderId="33" xfId="6" applyFont="1" applyFill="1" applyBorder="1" applyAlignment="1">
      <alignment vertical="center" wrapText="1"/>
    </xf>
    <xf numFmtId="0" fontId="12" fillId="17" borderId="20" xfId="6" applyFont="1" applyFill="1" applyBorder="1" applyAlignment="1">
      <alignment horizontal="center" vertical="center" wrapText="1"/>
    </xf>
    <xf numFmtId="0" fontId="13" fillId="23" borderId="34" xfId="6" applyFont="1" applyFill="1" applyBorder="1" applyAlignment="1">
      <alignment vertical="center" wrapText="1"/>
    </xf>
    <xf numFmtId="0" fontId="12" fillId="23" borderId="34" xfId="6" applyFont="1" applyFill="1" applyBorder="1" applyAlignment="1">
      <alignment horizontal="center" vertical="center" wrapText="1"/>
    </xf>
    <xf numFmtId="0" fontId="13" fillId="23" borderId="35" xfId="6" applyFont="1" applyFill="1" applyBorder="1" applyAlignment="1">
      <alignment vertical="center" wrapText="1"/>
    </xf>
    <xf numFmtId="0" fontId="12" fillId="23" borderId="35" xfId="6" applyFont="1" applyFill="1" applyBorder="1" applyAlignment="1">
      <alignment horizontal="center" vertical="center" wrapText="1"/>
    </xf>
    <xf numFmtId="0" fontId="13" fillId="35" borderId="23" xfId="6" applyFont="1" applyFill="1" applyBorder="1" applyAlignment="1">
      <alignment vertical="center" wrapText="1"/>
    </xf>
    <xf numFmtId="0" fontId="13" fillId="35" borderId="33" xfId="6" applyFont="1" applyFill="1" applyBorder="1" applyAlignment="1">
      <alignment vertical="center" wrapText="1"/>
    </xf>
    <xf numFmtId="0" fontId="17" fillId="27" borderId="36" xfId="6" applyFont="1" applyFill="1" applyBorder="1" applyAlignment="1">
      <alignment vertical="center" wrapText="1"/>
    </xf>
    <xf numFmtId="0" fontId="14" fillId="33" borderId="24" xfId="6" applyFont="1" applyFill="1" applyBorder="1" applyAlignment="1">
      <alignment vertical="center" wrapText="1"/>
    </xf>
    <xf numFmtId="0" fontId="13" fillId="33" borderId="22" xfId="6" applyFont="1" applyFill="1" applyBorder="1" applyAlignment="1">
      <alignment vertical="center" wrapText="1"/>
    </xf>
    <xf numFmtId="0" fontId="13" fillId="34" borderId="24" xfId="6" applyFont="1" applyFill="1" applyBorder="1" applyAlignment="1">
      <alignment vertical="center" wrapText="1"/>
    </xf>
    <xf numFmtId="0" fontId="13" fillId="34" borderId="22" xfId="6" applyFont="1" applyFill="1" applyBorder="1" applyAlignment="1">
      <alignment vertical="center" wrapText="1"/>
    </xf>
    <xf numFmtId="0" fontId="13" fillId="35" borderId="22" xfId="6" applyFont="1" applyFill="1" applyBorder="1" applyAlignment="1">
      <alignment vertical="center" wrapText="1"/>
    </xf>
    <xf numFmtId="0" fontId="13" fillId="35" borderId="29" xfId="6" applyFont="1" applyFill="1" applyBorder="1" applyAlignment="1">
      <alignment vertical="center" wrapText="1"/>
    </xf>
    <xf numFmtId="0" fontId="13" fillId="35" borderId="25" xfId="6" applyFont="1" applyFill="1" applyBorder="1" applyAlignment="1">
      <alignment vertical="center" wrapText="1"/>
    </xf>
    <xf numFmtId="0" fontId="13" fillId="35" borderId="15" xfId="6" applyFont="1" applyFill="1" applyBorder="1" applyAlignment="1">
      <alignment vertical="center" wrapText="1"/>
    </xf>
    <xf numFmtId="0" fontId="12" fillId="19" borderId="25" xfId="6" applyFont="1" applyFill="1" applyBorder="1" applyAlignment="1">
      <alignment vertical="center" wrapText="1"/>
    </xf>
    <xf numFmtId="0" fontId="12" fillId="19" borderId="30" xfId="6" applyFont="1" applyFill="1" applyBorder="1" applyAlignment="1">
      <alignment horizontal="center" vertical="center" wrapText="1"/>
    </xf>
    <xf numFmtId="0" fontId="12" fillId="19" borderId="15" xfId="6" applyFont="1" applyFill="1" applyBorder="1" applyAlignment="1">
      <alignment vertical="center" wrapText="1"/>
    </xf>
    <xf numFmtId="0" fontId="12" fillId="19" borderId="20" xfId="6" applyFont="1" applyFill="1" applyBorder="1" applyAlignment="1">
      <alignment horizontal="center" vertical="center" wrapText="1"/>
    </xf>
    <xf numFmtId="0" fontId="12" fillId="19" borderId="26" xfId="6" applyFont="1" applyFill="1" applyBorder="1" applyAlignment="1">
      <alignment vertical="center" wrapText="1"/>
    </xf>
    <xf numFmtId="0" fontId="12" fillId="19" borderId="21" xfId="6" applyFont="1" applyFill="1" applyBorder="1" applyAlignment="1">
      <alignment horizontal="center" vertical="center" wrapText="1"/>
    </xf>
    <xf numFmtId="165" fontId="12" fillId="14" borderId="7" xfId="6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 wrapText="1"/>
    </xf>
    <xf numFmtId="166" fontId="0" fillId="0" borderId="0" xfId="2" applyNumberFormat="1" applyFont="1" applyAlignment="1">
      <alignment horizontal="center"/>
    </xf>
    <xf numFmtId="0" fontId="0" fillId="0" borderId="0" xfId="0" applyAlignment="1">
      <alignment horizontal="center"/>
    </xf>
    <xf numFmtId="167" fontId="18" fillId="0" borderId="0" xfId="8" applyNumberFormat="1" applyFont="1" applyBorder="1" applyAlignment="1">
      <alignment horizontal="right" vertical="top"/>
    </xf>
    <xf numFmtId="0" fontId="2" fillId="4" borderId="0" xfId="0" applyFont="1" applyFill="1"/>
    <xf numFmtId="164" fontId="0" fillId="4" borderId="0" xfId="0" applyNumberFormat="1" applyFill="1"/>
    <xf numFmtId="43" fontId="0" fillId="4" borderId="0" xfId="1" applyFont="1" applyFill="1"/>
    <xf numFmtId="43" fontId="0" fillId="4" borderId="0" xfId="0" applyNumberFormat="1" applyFill="1"/>
    <xf numFmtId="2" fontId="0" fillId="4" borderId="0" xfId="0" applyNumberFormat="1" applyFill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/>
    <xf numFmtId="0" fontId="0" fillId="0" borderId="37" xfId="0" applyBorder="1" applyAlignment="1">
      <alignment horizontal="center"/>
    </xf>
    <xf numFmtId="0" fontId="0" fillId="0" borderId="37" xfId="0" applyBorder="1"/>
    <xf numFmtId="0" fontId="0" fillId="0" borderId="37" xfId="0" applyBorder="1" applyAlignment="1"/>
    <xf numFmtId="0" fontId="9" fillId="0" borderId="0" xfId="0" applyFont="1"/>
    <xf numFmtId="0" fontId="9" fillId="0" borderId="37" xfId="0" applyFont="1" applyBorder="1"/>
    <xf numFmtId="0" fontId="0" fillId="0" borderId="0" xfId="0" applyFill="1" applyBorder="1"/>
    <xf numFmtId="0" fontId="15" fillId="36" borderId="0" xfId="0" applyFont="1" applyFill="1" applyAlignment="1">
      <alignment horizontal="left"/>
    </xf>
    <xf numFmtId="0" fontId="15" fillId="16" borderId="0" xfId="0" applyFont="1" applyFill="1" applyAlignment="1">
      <alignment horizontal="left"/>
    </xf>
    <xf numFmtId="0" fontId="15" fillId="0" borderId="0" xfId="0" applyFont="1"/>
    <xf numFmtId="0" fontId="15" fillId="0" borderId="0" xfId="0" applyFont="1" applyFill="1"/>
    <xf numFmtId="2" fontId="15" fillId="0" borderId="0" xfId="0" applyNumberFormat="1" applyFont="1"/>
    <xf numFmtId="0" fontId="8" fillId="11" borderId="0" xfId="5"/>
    <xf numFmtId="0" fontId="21" fillId="37" borderId="0" xfId="0" applyFont="1" applyFill="1"/>
    <xf numFmtId="0" fontId="12" fillId="37" borderId="0" xfId="0" applyFont="1" applyFill="1"/>
    <xf numFmtId="0" fontId="21" fillId="37" borderId="0" xfId="4" applyFont="1" applyFill="1"/>
    <xf numFmtId="0" fontId="15" fillId="4" borderId="0" xfId="6" applyFont="1" applyFill="1" applyBorder="1" applyAlignment="1">
      <alignment vertical="center" wrapText="1"/>
    </xf>
    <xf numFmtId="0" fontId="12" fillId="4" borderId="0" xfId="6" applyFont="1" applyFill="1" applyBorder="1" applyAlignment="1">
      <alignment vertical="center" wrapText="1"/>
    </xf>
    <xf numFmtId="0" fontId="7" fillId="4" borderId="0" xfId="4" applyFill="1"/>
    <xf numFmtId="2" fontId="7" fillId="4" borderId="0" xfId="4" applyNumberFormat="1" applyFill="1"/>
    <xf numFmtId="0" fontId="0" fillId="22" borderId="0" xfId="0" applyFill="1"/>
    <xf numFmtId="0" fontId="6" fillId="4" borderId="0" xfId="3" applyFill="1"/>
    <xf numFmtId="0" fontId="8" fillId="4" borderId="0" xfId="5" applyFill="1"/>
    <xf numFmtId="0" fontId="15" fillId="8" borderId="10" xfId="6" applyFont="1" applyFill="1" applyBorder="1" applyAlignment="1">
      <alignment vertical="center"/>
    </xf>
    <xf numFmtId="0" fontId="12" fillId="4" borderId="14" xfId="6" applyFont="1" applyFill="1" applyBorder="1" applyAlignment="1">
      <alignment vertical="center"/>
    </xf>
    <xf numFmtId="0" fontId="12" fillId="2" borderId="10" xfId="6" applyFont="1" applyFill="1" applyBorder="1" applyAlignment="1">
      <alignment vertical="center"/>
    </xf>
    <xf numFmtId="0" fontId="12" fillId="6" borderId="14" xfId="6" applyFont="1" applyFill="1" applyBorder="1" applyAlignment="1">
      <alignment vertical="center"/>
    </xf>
    <xf numFmtId="43" fontId="3" fillId="0" borderId="0" xfId="1" applyFont="1" applyAlignment="1"/>
    <xf numFmtId="0" fontId="12" fillId="30" borderId="14" xfId="6" applyFont="1" applyFill="1" applyBorder="1" applyAlignment="1">
      <alignment vertical="center"/>
    </xf>
    <xf numFmtId="0" fontId="12" fillId="19" borderId="25" xfId="6" applyFont="1" applyFill="1" applyBorder="1" applyAlignment="1">
      <alignment vertical="center"/>
    </xf>
    <xf numFmtId="0" fontId="12" fillId="20" borderId="14" xfId="6" applyFont="1" applyFill="1" applyBorder="1" applyAlignment="1">
      <alignment vertical="center"/>
    </xf>
    <xf numFmtId="0" fontId="12" fillId="32" borderId="7" xfId="6" applyFont="1" applyFill="1" applyBorder="1" applyAlignment="1">
      <alignment vertical="center"/>
    </xf>
    <xf numFmtId="0" fontId="12" fillId="26" borderId="7" xfId="6" applyFont="1" applyFill="1" applyBorder="1" applyAlignment="1">
      <alignment vertical="center"/>
    </xf>
    <xf numFmtId="43" fontId="3" fillId="18" borderId="0" xfId="1" applyFont="1" applyFill="1" applyAlignment="1"/>
    <xf numFmtId="0" fontId="3" fillId="20" borderId="0" xfId="0" applyFont="1" applyFill="1" applyAlignment="1"/>
    <xf numFmtId="0" fontId="0" fillId="19" borderId="0" xfId="0" applyFill="1"/>
    <xf numFmtId="0" fontId="15" fillId="19" borderId="0" xfId="0" applyFont="1" applyFill="1"/>
    <xf numFmtId="43" fontId="0" fillId="19" borderId="0" xfId="1" applyFont="1" applyFill="1"/>
    <xf numFmtId="0" fontId="0" fillId="17" borderId="0" xfId="0" applyFill="1"/>
    <xf numFmtId="0" fontId="15" fillId="17" borderId="0" xfId="0" applyFont="1" applyFill="1"/>
    <xf numFmtId="43" fontId="0" fillId="17" borderId="0" xfId="1" applyFont="1" applyFill="1"/>
    <xf numFmtId="0" fontId="9" fillId="0" borderId="0" xfId="0" applyFont="1" applyAlignment="1"/>
    <xf numFmtId="43" fontId="15" fillId="8" borderId="10" xfId="1" applyFont="1" applyFill="1" applyBorder="1" applyAlignment="1">
      <alignment vertical="center"/>
    </xf>
    <xf numFmtId="43" fontId="12" fillId="4" borderId="14" xfId="1" applyFont="1" applyFill="1" applyBorder="1" applyAlignment="1">
      <alignment vertical="center"/>
    </xf>
    <xf numFmtId="43" fontId="12" fillId="2" borderId="10" xfId="1" applyFont="1" applyFill="1" applyBorder="1" applyAlignment="1">
      <alignment vertical="center"/>
    </xf>
    <xf numFmtId="43" fontId="12" fillId="6" borderId="14" xfId="1" applyFont="1" applyFill="1" applyBorder="1" applyAlignment="1">
      <alignment vertical="center"/>
    </xf>
    <xf numFmtId="43" fontId="12" fillId="30" borderId="14" xfId="1" applyFont="1" applyFill="1" applyBorder="1" applyAlignment="1">
      <alignment vertical="center"/>
    </xf>
    <xf numFmtId="43" fontId="12" fillId="19" borderId="25" xfId="1" applyFont="1" applyFill="1" applyBorder="1" applyAlignment="1">
      <alignment vertical="center"/>
    </xf>
    <xf numFmtId="43" fontId="12" fillId="20" borderId="14" xfId="1" applyFont="1" applyFill="1" applyBorder="1" applyAlignment="1">
      <alignment vertical="center"/>
    </xf>
    <xf numFmtId="43" fontId="12" fillId="32" borderId="7" xfId="1" applyFont="1" applyFill="1" applyBorder="1" applyAlignment="1">
      <alignment vertical="center"/>
    </xf>
    <xf numFmtId="43" fontId="12" fillId="26" borderId="7" xfId="1" applyFont="1" applyFill="1" applyBorder="1" applyAlignment="1">
      <alignment vertical="center"/>
    </xf>
    <xf numFmtId="0" fontId="15" fillId="4" borderId="0" xfId="0" applyFont="1" applyFill="1"/>
    <xf numFmtId="0" fontId="21" fillId="4" borderId="0" xfId="5" applyFont="1" applyFill="1"/>
    <xf numFmtId="0" fontId="21" fillId="4" borderId="0" xfId="4" applyFont="1" applyFill="1"/>
    <xf numFmtId="0" fontId="22" fillId="0" borderId="0" xfId="6" applyFont="1" applyAlignment="1"/>
    <xf numFmtId="0" fontId="0" fillId="0" borderId="0" xfId="1" applyNumberFormat="1" applyFont="1" applyAlignment="1">
      <alignment horizontal="center"/>
    </xf>
    <xf numFmtId="0" fontId="0" fillId="4" borderId="0" xfId="1" applyNumberFormat="1" applyFont="1" applyFill="1" applyAlignment="1">
      <alignment horizontal="center"/>
    </xf>
    <xf numFmtId="0" fontId="15" fillId="4" borderId="0" xfId="6" applyNumberFormat="1" applyFont="1" applyFill="1" applyBorder="1" applyAlignment="1">
      <alignment horizontal="center" vertical="center" wrapText="1"/>
    </xf>
    <xf numFmtId="0" fontId="12" fillId="4" borderId="0" xfId="6" applyNumberFormat="1" applyFont="1" applyFill="1" applyBorder="1" applyAlignment="1">
      <alignment horizontal="center" vertical="center" wrapText="1"/>
    </xf>
    <xf numFmtId="0" fontId="0" fillId="0" borderId="0" xfId="0" applyNumberFormat="1" applyAlignment="1">
      <alignment horizontal="center"/>
    </xf>
    <xf numFmtId="0" fontId="3" fillId="0" borderId="0" xfId="1" applyNumberFormat="1" applyFont="1" applyAlignment="1">
      <alignment horizontal="left"/>
    </xf>
    <xf numFmtId="2" fontId="15" fillId="0" borderId="0" xfId="0" applyNumberFormat="1" applyFont="1" applyFill="1" applyAlignment="1">
      <alignment horizontal="left"/>
    </xf>
    <xf numFmtId="43" fontId="3" fillId="0" borderId="0" xfId="1" applyFont="1"/>
    <xf numFmtId="43" fontId="3" fillId="17" borderId="0" xfId="1" applyFont="1" applyFill="1"/>
    <xf numFmtId="0" fontId="2" fillId="17" borderId="0" xfId="0" applyFont="1" applyFill="1" applyAlignment="1">
      <alignment horizontal="center"/>
    </xf>
    <xf numFmtId="0" fontId="0" fillId="17" borderId="0" xfId="0" applyFill="1" applyAlignment="1">
      <alignment horizontal="center"/>
    </xf>
    <xf numFmtId="0" fontId="3" fillId="17" borderId="0" xfId="0" applyFont="1" applyFill="1" applyAlignment="1">
      <alignment horizontal="center"/>
    </xf>
    <xf numFmtId="43" fontId="2" fillId="0" borderId="0" xfId="1" applyFont="1"/>
    <xf numFmtId="0" fontId="2" fillId="0" borderId="0" xfId="1" applyNumberFormat="1" applyFont="1" applyAlignment="1">
      <alignment horizontal="center"/>
    </xf>
    <xf numFmtId="0" fontId="9" fillId="0" borderId="0" xfId="0" applyFont="1" applyAlignment="1">
      <alignment horizontal="center"/>
    </xf>
    <xf numFmtId="0" fontId="2" fillId="4" borderId="0" xfId="0" applyFont="1" applyFill="1" applyAlignment="1">
      <alignment horizontal="center"/>
    </xf>
    <xf numFmtId="43" fontId="3" fillId="19" borderId="0" xfId="1" applyFont="1" applyFill="1"/>
    <xf numFmtId="0" fontId="0" fillId="19" borderId="0" xfId="1" applyNumberFormat="1" applyFont="1" applyFill="1" applyAlignment="1">
      <alignment horizontal="center"/>
    </xf>
    <xf numFmtId="0" fontId="2" fillId="19" borderId="0" xfId="0" applyFont="1" applyFill="1" applyAlignment="1">
      <alignment horizontal="center"/>
    </xf>
    <xf numFmtId="0" fontId="9" fillId="17" borderId="0" xfId="0" applyFont="1" applyFill="1" applyAlignment="1">
      <alignment horizontal="center"/>
    </xf>
    <xf numFmtId="0" fontId="3" fillId="2" borderId="0" xfId="1" applyNumberFormat="1" applyFont="1" applyFill="1"/>
    <xf numFmtId="0" fontId="0" fillId="2" borderId="0" xfId="1" applyNumberFormat="1" applyFont="1" applyFill="1"/>
    <xf numFmtId="0" fontId="3" fillId="6" borderId="0" xfId="1" applyNumberFormat="1" applyFont="1" applyFill="1"/>
    <xf numFmtId="0" fontId="3" fillId="8" borderId="0" xfId="1" applyNumberFormat="1" applyFont="1" applyFill="1"/>
    <xf numFmtId="0" fontId="0" fillId="8" borderId="0" xfId="1" applyNumberFormat="1" applyFont="1" applyFill="1"/>
    <xf numFmtId="43" fontId="0" fillId="2" borderId="0" xfId="1" applyFont="1" applyFill="1"/>
    <xf numFmtId="43" fontId="0" fillId="0" borderId="0" xfId="1" applyFont="1" applyAlignment="1">
      <alignment horizontal="center"/>
    </xf>
    <xf numFmtId="43" fontId="0" fillId="4" borderId="0" xfId="1" applyFont="1" applyFill="1" applyAlignment="1">
      <alignment horizontal="center"/>
    </xf>
    <xf numFmtId="0" fontId="15" fillId="4" borderId="0" xfId="6" applyFont="1" applyFill="1" applyBorder="1" applyAlignment="1">
      <alignment horizontal="center" vertical="center" wrapText="1"/>
    </xf>
    <xf numFmtId="0" fontId="12" fillId="4" borderId="0" xfId="6" applyFont="1" applyFill="1" applyBorder="1" applyAlignment="1">
      <alignment horizontal="center" vertical="center" wrapText="1"/>
    </xf>
    <xf numFmtId="43" fontId="3" fillId="0" borderId="0" xfId="1" applyFont="1" applyAlignment="1">
      <alignment horizontal="left"/>
    </xf>
    <xf numFmtId="0" fontId="0" fillId="4" borderId="0" xfId="0" applyFill="1" applyAlignment="1">
      <alignment horizontal="center"/>
    </xf>
    <xf numFmtId="0" fontId="3" fillId="20" borderId="0" xfId="0" applyFont="1" applyFill="1" applyAlignment="1">
      <alignment horizontal="left"/>
    </xf>
    <xf numFmtId="0" fontId="6" fillId="2" borderId="0" xfId="3" applyFill="1"/>
    <xf numFmtId="0" fontId="15" fillId="2" borderId="0" xfId="0" applyFont="1" applyFill="1"/>
    <xf numFmtId="43" fontId="0" fillId="2" borderId="0" xfId="1" applyFont="1" applyFill="1" applyAlignment="1">
      <alignment horizontal="center"/>
    </xf>
    <xf numFmtId="0" fontId="7" fillId="0" borderId="0" xfId="4" applyFill="1"/>
    <xf numFmtId="0" fontId="21" fillId="0" borderId="0" xfId="5" applyFont="1" applyFill="1"/>
    <xf numFmtId="0" fontId="21" fillId="0" borderId="0" xfId="4" applyFont="1" applyFill="1"/>
    <xf numFmtId="2" fontId="7" fillId="0" borderId="0" xfId="4" applyNumberFormat="1" applyFill="1"/>
    <xf numFmtId="43" fontId="0" fillId="0" borderId="0" xfId="1" applyFont="1" applyFill="1"/>
    <xf numFmtId="0" fontId="0" fillId="0" borderId="0" xfId="1" applyNumberFormat="1" applyFont="1" applyFill="1" applyAlignment="1">
      <alignment horizontal="center"/>
    </xf>
    <xf numFmtId="0" fontId="21" fillId="0" borderId="0" xfId="0" applyFont="1" applyFill="1"/>
    <xf numFmtId="0" fontId="0" fillId="0" borderId="0" xfId="0" applyFill="1" applyAlignment="1">
      <alignment horizontal="center"/>
    </xf>
    <xf numFmtId="0" fontId="3" fillId="0" borderId="0" xfId="0" applyFont="1" applyFill="1" applyAlignment="1"/>
    <xf numFmtId="0" fontId="0" fillId="0" borderId="0" xfId="0" applyFill="1" applyAlignment="1"/>
    <xf numFmtId="43" fontId="0" fillId="0" borderId="0" xfId="1" applyFont="1" applyFill="1" applyAlignment="1">
      <alignment horizontal="center"/>
    </xf>
    <xf numFmtId="0" fontId="3" fillId="0" borderId="0" xfId="1" applyNumberFormat="1" applyFont="1" applyFill="1"/>
    <xf numFmtId="0" fontId="0" fillId="0" borderId="0" xfId="1" applyNumberFormat="1" applyFont="1" applyFill="1"/>
    <xf numFmtId="0" fontId="0" fillId="6" borderId="0" xfId="1" applyNumberFormat="1" applyFont="1" applyFill="1"/>
    <xf numFmtId="43" fontId="3" fillId="2" borderId="0" xfId="1" applyFont="1" applyFill="1"/>
    <xf numFmtId="0" fontId="2" fillId="2" borderId="0" xfId="0" applyFont="1" applyFill="1" applyAlignment="1">
      <alignment horizontal="center"/>
    </xf>
    <xf numFmtId="1" fontId="15" fillId="4" borderId="0" xfId="0" applyNumberFormat="1" applyFont="1" applyFill="1" applyAlignment="1">
      <alignment horizontal="center"/>
    </xf>
    <xf numFmtId="1" fontId="15" fillId="0" borderId="0" xfId="0" applyNumberFormat="1" applyFont="1" applyAlignment="1">
      <alignment horizontal="center"/>
    </xf>
    <xf numFmtId="1" fontId="2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1" fontId="21" fillId="0" borderId="0" xfId="4" applyNumberFormat="1" applyFont="1" applyFill="1" applyAlignment="1">
      <alignment horizontal="center"/>
    </xf>
    <xf numFmtId="1" fontId="15" fillId="17" borderId="0" xfId="0" applyNumberFormat="1" applyFont="1" applyFill="1" applyAlignment="1">
      <alignment horizontal="center"/>
    </xf>
    <xf numFmtId="1" fontId="15" fillId="2" borderId="0" xfId="0" applyNumberFormat="1" applyFont="1" applyFill="1" applyAlignment="1">
      <alignment horizontal="center"/>
    </xf>
    <xf numFmtId="1" fontId="15" fillId="19" borderId="0" xfId="0" applyNumberFormat="1" applyFont="1" applyFill="1" applyAlignment="1">
      <alignment horizontal="center"/>
    </xf>
  </cellXfs>
  <cellStyles count="9">
    <cellStyle name="Bad" xfId="4" builtinId="27"/>
    <cellStyle name="Comma" xfId="1" builtinId="3"/>
    <cellStyle name="Good" xfId="3" builtinId="26"/>
    <cellStyle name="Hyperlink" xfId="7" builtinId="8"/>
    <cellStyle name="Neutral" xfId="5" builtinId="28"/>
    <cellStyle name="Normal" xfId="0" builtinId="0"/>
    <cellStyle name="Normal 2" xfId="6"/>
    <cellStyle name="Normal_Data" xfId="8"/>
    <cellStyle name="Percent" xfId="2" builtinId="5"/>
  </cellStyles>
  <dxfs count="0"/>
  <tableStyles count="0" defaultTableStyle="TableStyleMedium2" defaultPivotStyle="PivotStyleMedium4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Relationship Id="rId2" Type="http://schemas.openxmlformats.org/officeDocument/2006/relationships/comments" Target="../comments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1" Type="http://schemas.openxmlformats.org/officeDocument/2006/relationships/hyperlink" Target="http://www.happyplanetindex.org/" TargetMode="External"/><Relationship Id="rId12" Type="http://schemas.openxmlformats.org/officeDocument/2006/relationships/hyperlink" Target="http://whc.unesco.org/en/list/" TargetMode="External"/><Relationship Id="rId13" Type="http://schemas.openxmlformats.org/officeDocument/2006/relationships/hyperlink" Target="http://whc.unesco.org/en/list/" TargetMode="External"/><Relationship Id="rId14" Type="http://schemas.openxmlformats.org/officeDocument/2006/relationships/hyperlink" Target="http://www.wdpa.org/Statistics.aspxd" TargetMode="External"/><Relationship Id="rId15" Type="http://schemas.openxmlformats.org/officeDocument/2006/relationships/hyperlink" Target="http://earthtrends.wri.org/" TargetMode="External"/><Relationship Id="rId16" Type="http://schemas.openxmlformats.org/officeDocument/2006/relationships/hyperlink" Target="http://earthtrends.wri.org/" TargetMode="External"/><Relationship Id="rId17" Type="http://schemas.openxmlformats.org/officeDocument/2006/relationships/hyperlink" Target="http://earthtrends.wri.org/" TargetMode="External"/><Relationship Id="rId18" Type="http://schemas.openxmlformats.org/officeDocument/2006/relationships/hyperlink" Target="http://www.who.int/whosis/whostat/en/" TargetMode="External"/><Relationship Id="rId1" Type="http://schemas.openxmlformats.org/officeDocument/2006/relationships/hyperlink" Target="http://epi.yale.edu/" TargetMode="External"/><Relationship Id="rId2" Type="http://schemas.openxmlformats.org/officeDocument/2006/relationships/hyperlink" Target="http://unstats.un.org/unsd/demographic/products/socind/unemployment.htm" TargetMode="External"/><Relationship Id="rId3" Type="http://schemas.openxmlformats.org/officeDocument/2006/relationships/hyperlink" Target="http://www.transparency.org/" TargetMode="External"/><Relationship Id="rId4" Type="http://schemas.openxmlformats.org/officeDocument/2006/relationships/hyperlink" Target="http://www.fco.gov.uk/en/travelling-and-living-overseas/travel-advice-by-country/" TargetMode="External"/><Relationship Id="rId5" Type="http://schemas.openxmlformats.org/officeDocument/2006/relationships/hyperlink" Target="http://www.who.int/whosis/whostat/en/" TargetMode="External"/><Relationship Id="rId6" Type="http://schemas.openxmlformats.org/officeDocument/2006/relationships/hyperlink" Target="https://www.cia.gov/library/publications/the-world-factbook/" TargetMode="External"/><Relationship Id="rId7" Type="http://schemas.openxmlformats.org/officeDocument/2006/relationships/hyperlink" Target="https://www.cia.gov/library/publications/the-world-factbook/" TargetMode="External"/><Relationship Id="rId8" Type="http://schemas.openxmlformats.org/officeDocument/2006/relationships/hyperlink" Target="http://www.iucnredlist.org/documents/summarystatistics/2010_4RL_Stats_Table_5.pdf" TargetMode="External"/><Relationship Id="rId9" Type="http://schemas.openxmlformats.org/officeDocument/2006/relationships/hyperlink" Target="http://www.fao.org/" TargetMode="External"/><Relationship Id="rId10" Type="http://schemas.openxmlformats.org/officeDocument/2006/relationships/hyperlink" Target="http://www.heritage.org/Index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workbookViewId="0">
      <selection activeCell="F20" sqref="F20"/>
    </sheetView>
  </sheetViews>
  <sheetFormatPr baseColWidth="10" defaultColWidth="8.83203125" defaultRowHeight="14" x14ac:dyDescent="0"/>
  <cols>
    <col min="1" max="1" width="82.5" style="39" customWidth="1"/>
  </cols>
  <sheetData>
    <row r="1" spans="1:2" ht="15" thickTop="1">
      <c r="A1" s="40"/>
      <c r="B1" s="36"/>
    </row>
    <row r="2" spans="1:2" ht="17">
      <c r="A2" s="41" t="s">
        <v>337</v>
      </c>
      <c r="B2" s="36"/>
    </row>
    <row r="3" spans="1:2" ht="17">
      <c r="A3" s="42" t="s">
        <v>65</v>
      </c>
      <c r="B3" s="36"/>
    </row>
    <row r="4" spans="1:2">
      <c r="A4" s="43"/>
      <c r="B4" s="36"/>
    </row>
    <row r="5" spans="1:2">
      <c r="A5" s="44" t="s">
        <v>334</v>
      </c>
      <c r="B5" s="36"/>
    </row>
    <row r="6" spans="1:2">
      <c r="A6" s="44"/>
      <c r="B6" s="36"/>
    </row>
    <row r="7" spans="1:2">
      <c r="A7" s="44" t="s">
        <v>341</v>
      </c>
      <c r="B7" s="36"/>
    </row>
    <row r="8" spans="1:2">
      <c r="A8" s="44" t="s">
        <v>338</v>
      </c>
      <c r="B8" s="36"/>
    </row>
    <row r="9" spans="1:2">
      <c r="A9" s="44" t="s">
        <v>335</v>
      </c>
      <c r="B9" s="36"/>
    </row>
    <row r="10" spans="1:2">
      <c r="A10" s="44" t="s">
        <v>339</v>
      </c>
      <c r="B10" s="36"/>
    </row>
    <row r="11" spans="1:2">
      <c r="A11" s="44" t="s">
        <v>335</v>
      </c>
      <c r="B11" s="36"/>
    </row>
    <row r="12" spans="1:2">
      <c r="A12" s="44" t="s">
        <v>342</v>
      </c>
      <c r="B12" s="36"/>
    </row>
    <row r="13" spans="1:2">
      <c r="A13" s="44"/>
      <c r="B13" s="36"/>
    </row>
    <row r="14" spans="1:2">
      <c r="A14" s="44" t="s">
        <v>340</v>
      </c>
      <c r="B14" s="36"/>
    </row>
    <row r="15" spans="1:2">
      <c r="A15" s="44"/>
      <c r="B15" s="36"/>
    </row>
    <row r="16" spans="1:2">
      <c r="A16" s="44"/>
      <c r="B16" s="36"/>
    </row>
    <row r="17" spans="1:2">
      <c r="A17" s="45" t="s">
        <v>58</v>
      </c>
      <c r="B17" s="36"/>
    </row>
    <row r="18" spans="1:2">
      <c r="A18" s="45" t="s">
        <v>336</v>
      </c>
      <c r="B18" s="36"/>
    </row>
    <row r="19" spans="1:2">
      <c r="A19" s="45" t="s">
        <v>59</v>
      </c>
      <c r="B19" s="36"/>
    </row>
    <row r="20" spans="1:2">
      <c r="A20" s="45" t="s">
        <v>60</v>
      </c>
      <c r="B20" s="36"/>
    </row>
    <row r="21" spans="1:2">
      <c r="A21" s="45" t="s">
        <v>61</v>
      </c>
      <c r="B21" s="36"/>
    </row>
    <row r="22" spans="1:2">
      <c r="A22" s="45" t="s">
        <v>62</v>
      </c>
      <c r="B22" s="36"/>
    </row>
    <row r="23" spans="1:2">
      <c r="A23" s="45" t="s">
        <v>63</v>
      </c>
      <c r="B23" s="36"/>
    </row>
    <row r="24" spans="1:2">
      <c r="A24" s="45" t="s">
        <v>64</v>
      </c>
      <c r="B24" s="36"/>
    </row>
    <row r="25" spans="1:2">
      <c r="A25" s="45"/>
      <c r="B25" s="36"/>
    </row>
    <row r="26" spans="1:2">
      <c r="A26" s="44"/>
      <c r="B26" s="36"/>
    </row>
    <row r="27" spans="1:2" ht="15" thickBot="1">
      <c r="A27" s="46"/>
      <c r="B27" s="36"/>
    </row>
    <row r="28" spans="1:2" ht="15" thickTop="1">
      <c r="A28" s="37"/>
      <c r="B28" s="38"/>
    </row>
    <row r="29" spans="1:2">
      <c r="B29" s="38"/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S222"/>
  <sheetViews>
    <sheetView tabSelected="1" topLeftCell="A93" workbookViewId="0">
      <pane xSplit="16780" topLeftCell="AA1"/>
      <selection activeCell="H120" sqref="H120"/>
      <selection pane="topRight" activeCell="AE12" sqref="AE12"/>
    </sheetView>
  </sheetViews>
  <sheetFormatPr baseColWidth="10" defaultColWidth="8.83203125" defaultRowHeight="14" x14ac:dyDescent="0"/>
  <cols>
    <col min="2" max="2" width="8.83203125" style="232"/>
    <col min="3" max="3" width="15.6640625" customWidth="1"/>
    <col min="5" max="5" width="8.83203125" style="242"/>
    <col min="7" max="7" width="8.83203125" style="232"/>
    <col min="8" max="8" width="12.5" customWidth="1"/>
    <col min="11" max="11" width="8.83203125" style="13"/>
    <col min="12" max="12" width="8.83203125" style="232"/>
    <col min="18" max="18" width="17.5" customWidth="1"/>
  </cols>
  <sheetData>
    <row r="3" spans="2:19" ht="18">
      <c r="C3" s="35" t="s">
        <v>332</v>
      </c>
      <c r="D3" s="1"/>
      <c r="E3" s="241"/>
      <c r="F3" s="1"/>
      <c r="G3" s="240"/>
      <c r="H3" s="1"/>
      <c r="I3" s="1"/>
      <c r="J3" s="1"/>
      <c r="K3" s="234"/>
      <c r="L3" s="240"/>
      <c r="M3" s="1"/>
      <c r="N3" s="1"/>
      <c r="O3" s="1"/>
    </row>
    <row r="4" spans="2:19">
      <c r="C4" s="1"/>
      <c r="D4" s="1"/>
      <c r="E4" s="241"/>
      <c r="F4" s="1"/>
      <c r="G4" s="240"/>
      <c r="H4" s="1"/>
      <c r="I4" s="1"/>
      <c r="J4" s="1"/>
      <c r="K4" s="234"/>
      <c r="L4" s="240"/>
      <c r="M4" s="1"/>
      <c r="N4" s="1"/>
      <c r="O4" s="1"/>
    </row>
    <row r="5" spans="2:19">
      <c r="C5" s="1" t="s">
        <v>507</v>
      </c>
      <c r="D5" s="1"/>
      <c r="E5" s="241"/>
      <c r="G5" s="240"/>
      <c r="H5" s="1" t="s">
        <v>508</v>
      </c>
      <c r="I5" s="1"/>
      <c r="J5" s="1"/>
      <c r="K5" s="234"/>
      <c r="L5" s="240"/>
      <c r="M5" s="1" t="s">
        <v>509</v>
      </c>
      <c r="N5" s="1"/>
      <c r="O5" s="1"/>
    </row>
    <row r="6" spans="2:19">
      <c r="F6" s="1"/>
    </row>
    <row r="7" spans="2:19" ht="15" thickBot="1">
      <c r="B7" s="244" t="s">
        <v>87</v>
      </c>
      <c r="C7" s="245" t="s">
        <v>88</v>
      </c>
      <c r="D7" s="245" t="s">
        <v>89</v>
      </c>
      <c r="E7" s="246" t="s">
        <v>90</v>
      </c>
      <c r="F7" s="1"/>
      <c r="G7" s="244" t="s">
        <v>87</v>
      </c>
      <c r="H7" s="245" t="s">
        <v>88</v>
      </c>
      <c r="I7" s="245" t="s">
        <v>89</v>
      </c>
      <c r="J7" s="245" t="s">
        <v>90</v>
      </c>
      <c r="L7" s="244" t="s">
        <v>87</v>
      </c>
      <c r="M7" s="245" t="s">
        <v>88</v>
      </c>
      <c r="N7" s="245" t="s">
        <v>89</v>
      </c>
      <c r="O7" s="245" t="s">
        <v>90</v>
      </c>
    </row>
    <row r="8" spans="2:19">
      <c r="B8" s="232">
        <v>1</v>
      </c>
      <c r="C8" s="318" t="s">
        <v>510</v>
      </c>
      <c r="D8" s="318" t="s">
        <v>511</v>
      </c>
      <c r="E8" s="318">
        <v>12</v>
      </c>
      <c r="G8" s="239">
        <v>1</v>
      </c>
      <c r="H8" s="3" t="s">
        <v>512</v>
      </c>
      <c r="I8" s="3" t="s">
        <v>513</v>
      </c>
      <c r="J8" s="3">
        <v>11</v>
      </c>
      <c r="K8" s="5"/>
      <c r="L8" s="239">
        <v>1</v>
      </c>
      <c r="M8" s="4" t="s">
        <v>510</v>
      </c>
      <c r="N8" s="4" t="s">
        <v>511</v>
      </c>
      <c r="O8" s="4">
        <v>16</v>
      </c>
    </row>
    <row r="9" spans="2:19">
      <c r="B9" s="232">
        <f>B8+1</f>
        <v>2</v>
      </c>
      <c r="C9" s="318" t="s">
        <v>512</v>
      </c>
      <c r="D9" s="318" t="s">
        <v>513</v>
      </c>
      <c r="E9" s="318">
        <v>16</v>
      </c>
      <c r="G9" s="239">
        <f>G8+1</f>
        <v>2</v>
      </c>
      <c r="H9" s="3" t="s">
        <v>510</v>
      </c>
      <c r="I9" s="3" t="s">
        <v>511</v>
      </c>
      <c r="J9" s="3">
        <v>13</v>
      </c>
      <c r="K9" s="5"/>
      <c r="L9" s="239">
        <f>L8+1</f>
        <v>2</v>
      </c>
      <c r="M9" s="4" t="s">
        <v>514</v>
      </c>
      <c r="N9" s="4" t="s">
        <v>515</v>
      </c>
      <c r="O9" s="4">
        <v>17</v>
      </c>
    </row>
    <row r="10" spans="2:19" ht="15" thickBot="1">
      <c r="B10" s="232">
        <f t="shared" ref="B10:B35" si="0">B9+1</f>
        <v>3</v>
      </c>
      <c r="C10" s="319" t="s">
        <v>516</v>
      </c>
      <c r="D10" s="319" t="s">
        <v>517</v>
      </c>
      <c r="E10" s="318">
        <v>19</v>
      </c>
      <c r="F10" s="1"/>
      <c r="G10" s="239">
        <f t="shared" ref="G10:G35" si="1">G9+1</f>
        <v>3</v>
      </c>
      <c r="H10" s="3" t="s">
        <v>516</v>
      </c>
      <c r="I10" s="3" t="s">
        <v>517</v>
      </c>
      <c r="J10" s="3">
        <v>15</v>
      </c>
      <c r="K10" s="5"/>
      <c r="L10" s="239">
        <f t="shared" ref="L10:L35" si="2">L9+1</f>
        <v>3</v>
      </c>
      <c r="M10" s="4" t="s">
        <v>516</v>
      </c>
      <c r="N10" s="4" t="s">
        <v>517</v>
      </c>
      <c r="O10" s="4">
        <v>20</v>
      </c>
      <c r="R10" s="248" t="s">
        <v>94</v>
      </c>
    </row>
    <row r="11" spans="2:19">
      <c r="B11" s="232">
        <f t="shared" si="0"/>
        <v>4</v>
      </c>
      <c r="C11" s="319" t="s">
        <v>540</v>
      </c>
      <c r="D11" s="319" t="s">
        <v>541</v>
      </c>
      <c r="E11" s="318">
        <v>24</v>
      </c>
      <c r="G11" s="239">
        <f t="shared" si="1"/>
        <v>4</v>
      </c>
      <c r="H11" s="6" t="s">
        <v>520</v>
      </c>
      <c r="I11" s="6" t="s">
        <v>521</v>
      </c>
      <c r="J11" s="6">
        <v>25</v>
      </c>
      <c r="K11" s="5"/>
      <c r="L11" s="239">
        <f t="shared" si="2"/>
        <v>4</v>
      </c>
      <c r="M11" s="7" t="s">
        <v>520</v>
      </c>
      <c r="N11" s="7" t="s">
        <v>521</v>
      </c>
      <c r="O11" s="7">
        <v>23</v>
      </c>
      <c r="R11" t="s">
        <v>95</v>
      </c>
      <c r="S11" s="18"/>
    </row>
    <row r="12" spans="2:19">
      <c r="B12" s="232">
        <f t="shared" si="0"/>
        <v>5</v>
      </c>
      <c r="C12" s="345" t="s">
        <v>522</v>
      </c>
      <c r="D12" s="345" t="s">
        <v>523</v>
      </c>
      <c r="E12" s="345">
        <v>26</v>
      </c>
      <c r="G12" s="239">
        <f t="shared" si="1"/>
        <v>5</v>
      </c>
      <c r="H12" s="6" t="s">
        <v>524</v>
      </c>
      <c r="I12" s="6" t="s">
        <v>525</v>
      </c>
      <c r="J12" s="6">
        <v>26</v>
      </c>
      <c r="K12" s="5"/>
      <c r="L12" s="239">
        <f t="shared" si="2"/>
        <v>5</v>
      </c>
      <c r="M12" s="7" t="s">
        <v>526</v>
      </c>
      <c r="N12" s="7" t="s">
        <v>527</v>
      </c>
      <c r="O12" s="7">
        <v>27</v>
      </c>
      <c r="R12" t="s">
        <v>97</v>
      </c>
      <c r="S12" s="20"/>
    </row>
    <row r="13" spans="2:19">
      <c r="B13" s="232">
        <f t="shared" si="0"/>
        <v>6</v>
      </c>
      <c r="C13" s="26" t="s">
        <v>514</v>
      </c>
      <c r="D13" s="26" t="s">
        <v>515</v>
      </c>
      <c r="E13" s="26">
        <v>26</v>
      </c>
      <c r="F13" s="1"/>
      <c r="G13" s="239">
        <f t="shared" si="1"/>
        <v>6</v>
      </c>
      <c r="H13" s="6" t="s">
        <v>530</v>
      </c>
      <c r="I13" s="6" t="s">
        <v>531</v>
      </c>
      <c r="J13" s="6">
        <v>28</v>
      </c>
      <c r="K13" s="5"/>
      <c r="L13" s="239">
        <f t="shared" si="2"/>
        <v>6</v>
      </c>
      <c r="M13" s="2" t="s">
        <v>532</v>
      </c>
      <c r="N13" s="2" t="s">
        <v>533</v>
      </c>
      <c r="O13" s="2">
        <v>29</v>
      </c>
      <c r="R13" t="s">
        <v>91</v>
      </c>
      <c r="S13" s="21"/>
    </row>
    <row r="14" spans="2:19">
      <c r="B14" s="232">
        <f t="shared" si="0"/>
        <v>7</v>
      </c>
      <c r="C14" s="25" t="s">
        <v>528</v>
      </c>
      <c r="D14" s="25" t="s">
        <v>529</v>
      </c>
      <c r="E14" s="25">
        <v>30</v>
      </c>
      <c r="G14" s="239">
        <f t="shared" si="1"/>
        <v>7</v>
      </c>
      <c r="H14" s="6" t="s">
        <v>536</v>
      </c>
      <c r="I14" s="6" t="s">
        <v>537</v>
      </c>
      <c r="J14" s="6">
        <v>33</v>
      </c>
      <c r="K14" s="5"/>
      <c r="L14" s="239">
        <f t="shared" si="2"/>
        <v>7</v>
      </c>
      <c r="M14" t="s">
        <v>538</v>
      </c>
      <c r="N14" t="s">
        <v>539</v>
      </c>
      <c r="O14">
        <v>30</v>
      </c>
      <c r="R14" t="s">
        <v>96</v>
      </c>
      <c r="S14" s="22"/>
    </row>
    <row r="15" spans="2:19">
      <c r="B15" s="232">
        <f t="shared" si="0"/>
        <v>8</v>
      </c>
      <c r="C15" s="345" t="s">
        <v>538</v>
      </c>
      <c r="D15" s="345" t="s">
        <v>539</v>
      </c>
      <c r="E15" s="345">
        <v>31</v>
      </c>
      <c r="F15" s="1"/>
      <c r="G15" s="239">
        <f t="shared" si="1"/>
        <v>8</v>
      </c>
      <c r="H15" s="6" t="s">
        <v>528</v>
      </c>
      <c r="I15" s="6" t="s">
        <v>529</v>
      </c>
      <c r="J15" s="6">
        <v>33</v>
      </c>
      <c r="K15" s="5"/>
      <c r="L15" s="239">
        <f t="shared" si="2"/>
        <v>8</v>
      </c>
      <c r="M15" s="2" t="s">
        <v>522</v>
      </c>
      <c r="N15" s="2" t="s">
        <v>523</v>
      </c>
      <c r="O15" s="2">
        <v>31</v>
      </c>
    </row>
    <row r="16" spans="2:19" ht="15" thickBot="1">
      <c r="B16" s="232">
        <f t="shared" si="0"/>
        <v>9</v>
      </c>
      <c r="C16" s="346" t="s">
        <v>518</v>
      </c>
      <c r="D16" s="346" t="s">
        <v>519</v>
      </c>
      <c r="E16" s="345">
        <v>32</v>
      </c>
      <c r="G16" s="239">
        <f t="shared" si="1"/>
        <v>9</v>
      </c>
      <c r="H16" s="6" t="s">
        <v>522</v>
      </c>
      <c r="I16" s="6" t="s">
        <v>523</v>
      </c>
      <c r="J16" s="6">
        <v>34</v>
      </c>
      <c r="K16" s="5"/>
      <c r="L16" s="239">
        <f t="shared" si="2"/>
        <v>9</v>
      </c>
      <c r="M16" s="2" t="s">
        <v>512</v>
      </c>
      <c r="N16" s="2" t="s">
        <v>513</v>
      </c>
      <c r="O16" s="2">
        <v>32</v>
      </c>
      <c r="R16" s="245" t="s">
        <v>90</v>
      </c>
    </row>
    <row r="17" spans="2:18">
      <c r="B17" s="232">
        <f t="shared" si="0"/>
        <v>10</v>
      </c>
      <c r="C17" s="345" t="s">
        <v>534</v>
      </c>
      <c r="D17" s="345" t="s">
        <v>535</v>
      </c>
      <c r="E17" s="345">
        <v>33</v>
      </c>
      <c r="F17" s="1"/>
      <c r="G17" s="239">
        <f t="shared" si="1"/>
        <v>10</v>
      </c>
      <c r="H17" s="9" t="s">
        <v>526</v>
      </c>
      <c r="I17" s="9" t="s">
        <v>527</v>
      </c>
      <c r="J17" s="6">
        <v>34</v>
      </c>
      <c r="K17" s="5"/>
      <c r="L17" s="239">
        <f t="shared" si="2"/>
        <v>10</v>
      </c>
      <c r="M17" s="2" t="s">
        <v>542</v>
      </c>
      <c r="N17" s="2" t="s">
        <v>543</v>
      </c>
      <c r="O17" s="2">
        <v>34</v>
      </c>
      <c r="R17" t="s">
        <v>98</v>
      </c>
    </row>
    <row r="18" spans="2:18">
      <c r="B18" s="232">
        <f t="shared" si="0"/>
        <v>11</v>
      </c>
      <c r="C18" s="345" t="s">
        <v>526</v>
      </c>
      <c r="D18" s="345" t="s">
        <v>527</v>
      </c>
      <c r="E18" s="345">
        <v>36</v>
      </c>
      <c r="F18" s="1"/>
      <c r="G18" s="239">
        <f t="shared" si="1"/>
        <v>11</v>
      </c>
      <c r="H18" s="6" t="s">
        <v>534</v>
      </c>
      <c r="I18" s="6" t="s">
        <v>535</v>
      </c>
      <c r="J18" s="6">
        <v>35</v>
      </c>
      <c r="K18" s="5"/>
      <c r="L18" s="239">
        <f t="shared" si="2"/>
        <v>11</v>
      </c>
      <c r="M18" s="2" t="s">
        <v>518</v>
      </c>
      <c r="N18" s="2" t="s">
        <v>519</v>
      </c>
      <c r="O18" s="2">
        <v>40</v>
      </c>
    </row>
    <row r="19" spans="2:18" ht="15" thickBot="1">
      <c r="B19" s="232">
        <f t="shared" si="0"/>
        <v>12</v>
      </c>
      <c r="C19" s="345" t="s">
        <v>542</v>
      </c>
      <c r="D19" s="345" t="s">
        <v>543</v>
      </c>
      <c r="E19" s="345">
        <v>36</v>
      </c>
      <c r="G19" s="239">
        <f t="shared" si="1"/>
        <v>12</v>
      </c>
      <c r="H19" s="9" t="s">
        <v>538</v>
      </c>
      <c r="I19" s="9" t="s">
        <v>539</v>
      </c>
      <c r="J19" s="6">
        <v>35</v>
      </c>
      <c r="K19" s="5"/>
      <c r="L19" s="239">
        <f t="shared" si="2"/>
        <v>12</v>
      </c>
      <c r="M19" s="2" t="s">
        <v>544</v>
      </c>
      <c r="N19" s="2" t="s">
        <v>545</v>
      </c>
      <c r="O19" s="2">
        <v>42</v>
      </c>
      <c r="R19" s="245" t="s">
        <v>87</v>
      </c>
    </row>
    <row r="20" spans="2:18">
      <c r="B20" s="232">
        <f t="shared" si="0"/>
        <v>13</v>
      </c>
      <c r="C20" s="346" t="s">
        <v>520</v>
      </c>
      <c r="D20" s="346" t="s">
        <v>521</v>
      </c>
      <c r="E20" s="345">
        <v>39</v>
      </c>
      <c r="F20" s="1"/>
      <c r="G20" s="239">
        <f t="shared" si="1"/>
        <v>13</v>
      </c>
      <c r="H20" s="6" t="s">
        <v>542</v>
      </c>
      <c r="I20" s="6" t="s">
        <v>543</v>
      </c>
      <c r="J20" s="6">
        <v>36</v>
      </c>
      <c r="K20" s="5"/>
      <c r="L20" s="239">
        <f t="shared" si="2"/>
        <v>13</v>
      </c>
      <c r="M20" t="s">
        <v>530</v>
      </c>
      <c r="N20" t="s">
        <v>531</v>
      </c>
      <c r="O20">
        <v>42</v>
      </c>
      <c r="R20" s="249" t="s">
        <v>99</v>
      </c>
    </row>
    <row r="21" spans="2:18">
      <c r="B21" s="232">
        <f t="shared" si="0"/>
        <v>14</v>
      </c>
      <c r="C21" s="345" t="s">
        <v>546</v>
      </c>
      <c r="D21" s="345" t="s">
        <v>547</v>
      </c>
      <c r="E21" s="345">
        <v>39</v>
      </c>
      <c r="F21" s="1"/>
      <c r="G21" s="239">
        <f t="shared" si="1"/>
        <v>14</v>
      </c>
      <c r="H21" s="6" t="s">
        <v>518</v>
      </c>
      <c r="I21" s="6" t="s">
        <v>519</v>
      </c>
      <c r="J21" s="6">
        <v>38</v>
      </c>
      <c r="K21" s="5"/>
      <c r="L21" s="239">
        <f t="shared" si="2"/>
        <v>14</v>
      </c>
      <c r="M21" s="10" t="s">
        <v>534</v>
      </c>
      <c r="N21" s="10" t="s">
        <v>535</v>
      </c>
      <c r="O21" s="10">
        <v>44</v>
      </c>
    </row>
    <row r="22" spans="2:18">
      <c r="B22" s="232">
        <f t="shared" si="0"/>
        <v>15</v>
      </c>
      <c r="C22" s="345" t="s">
        <v>524</v>
      </c>
      <c r="D22" s="345" t="s">
        <v>525</v>
      </c>
      <c r="E22" s="345">
        <v>41</v>
      </c>
      <c r="G22" s="239">
        <f t="shared" si="1"/>
        <v>15</v>
      </c>
      <c r="H22" s="6" t="s">
        <v>546</v>
      </c>
      <c r="I22" s="6" t="s">
        <v>547</v>
      </c>
      <c r="J22" s="6">
        <v>38</v>
      </c>
      <c r="K22" s="5"/>
      <c r="L22" s="239">
        <f t="shared" si="2"/>
        <v>15</v>
      </c>
      <c r="M22" s="10" t="s">
        <v>548</v>
      </c>
      <c r="N22" s="10" t="s">
        <v>549</v>
      </c>
      <c r="O22" s="10">
        <v>44</v>
      </c>
    </row>
    <row r="23" spans="2:18">
      <c r="B23" s="232">
        <f t="shared" si="0"/>
        <v>16</v>
      </c>
      <c r="C23" s="345" t="s">
        <v>536</v>
      </c>
      <c r="D23" s="345" t="s">
        <v>537</v>
      </c>
      <c r="E23" s="345">
        <v>42</v>
      </c>
      <c r="G23" s="239">
        <f t="shared" si="1"/>
        <v>16</v>
      </c>
      <c r="H23" s="9" t="s">
        <v>540</v>
      </c>
      <c r="I23" s="9" t="s">
        <v>541</v>
      </c>
      <c r="J23" s="6">
        <v>39</v>
      </c>
      <c r="K23" s="5"/>
      <c r="L23" s="239">
        <f t="shared" si="2"/>
        <v>16</v>
      </c>
      <c r="M23" s="2" t="s">
        <v>550</v>
      </c>
      <c r="N23" s="2" t="s">
        <v>551</v>
      </c>
      <c r="O23" s="2">
        <v>45</v>
      </c>
    </row>
    <row r="24" spans="2:18">
      <c r="B24" s="232">
        <f t="shared" si="0"/>
        <v>17</v>
      </c>
      <c r="C24" s="320" t="s">
        <v>550</v>
      </c>
      <c r="D24" s="320" t="s">
        <v>551</v>
      </c>
      <c r="E24" s="320">
        <v>42</v>
      </c>
      <c r="G24" s="239">
        <f t="shared" si="1"/>
        <v>17</v>
      </c>
      <c r="H24" s="9" t="s">
        <v>514</v>
      </c>
      <c r="I24" s="9" t="s">
        <v>515</v>
      </c>
      <c r="J24" s="6">
        <v>39</v>
      </c>
      <c r="K24" s="5"/>
      <c r="L24" s="239">
        <f t="shared" si="2"/>
        <v>17</v>
      </c>
      <c r="M24" s="2" t="s">
        <v>524</v>
      </c>
      <c r="N24" s="2" t="s">
        <v>525</v>
      </c>
      <c r="O24" s="2">
        <v>47</v>
      </c>
    </row>
    <row r="25" spans="2:18">
      <c r="B25" s="232">
        <f t="shared" si="0"/>
        <v>18</v>
      </c>
      <c r="C25" s="347" t="s">
        <v>544</v>
      </c>
      <c r="D25" s="347" t="s">
        <v>545</v>
      </c>
      <c r="E25" s="320">
        <v>49</v>
      </c>
      <c r="F25" s="1"/>
      <c r="G25" s="239">
        <f t="shared" si="1"/>
        <v>18</v>
      </c>
      <c r="H25" s="9" t="s">
        <v>550</v>
      </c>
      <c r="I25" s="9" t="s">
        <v>551</v>
      </c>
      <c r="J25" s="6">
        <v>43</v>
      </c>
      <c r="K25" s="5"/>
      <c r="L25" s="239">
        <f t="shared" si="2"/>
        <v>18</v>
      </c>
      <c r="M25" t="s">
        <v>546</v>
      </c>
      <c r="N25" t="s">
        <v>547</v>
      </c>
      <c r="O25">
        <v>47</v>
      </c>
    </row>
    <row r="26" spans="2:18">
      <c r="B26" s="232">
        <f t="shared" si="0"/>
        <v>19</v>
      </c>
      <c r="C26" s="345" t="s">
        <v>530</v>
      </c>
      <c r="D26" s="345" t="s">
        <v>531</v>
      </c>
      <c r="E26" s="345">
        <v>49</v>
      </c>
      <c r="F26" s="1"/>
      <c r="G26" s="239">
        <f t="shared" si="1"/>
        <v>19</v>
      </c>
      <c r="H26" s="11" t="s">
        <v>552</v>
      </c>
      <c r="I26" s="11" t="s">
        <v>553</v>
      </c>
      <c r="J26" s="12">
        <v>44</v>
      </c>
      <c r="K26" s="5"/>
      <c r="L26" s="239">
        <f t="shared" si="2"/>
        <v>19</v>
      </c>
      <c r="M26" s="2" t="s">
        <v>552</v>
      </c>
      <c r="N26" s="2" t="s">
        <v>553</v>
      </c>
      <c r="O26" s="2">
        <v>50</v>
      </c>
    </row>
    <row r="27" spans="2:18">
      <c r="B27" s="232">
        <f t="shared" si="0"/>
        <v>20</v>
      </c>
      <c r="C27" s="345" t="s">
        <v>552</v>
      </c>
      <c r="D27" s="345" t="s">
        <v>553</v>
      </c>
      <c r="E27" s="345">
        <v>55</v>
      </c>
      <c r="G27" s="239">
        <f t="shared" si="1"/>
        <v>20</v>
      </c>
      <c r="H27" s="6" t="s">
        <v>544</v>
      </c>
      <c r="I27" s="6" t="s">
        <v>545</v>
      </c>
      <c r="J27" s="6">
        <v>50</v>
      </c>
      <c r="K27" s="5"/>
      <c r="L27" s="239">
        <f t="shared" si="2"/>
        <v>20</v>
      </c>
      <c r="M27" s="2" t="s">
        <v>540</v>
      </c>
      <c r="N27" s="2" t="s">
        <v>541</v>
      </c>
      <c r="O27" s="2">
        <v>51</v>
      </c>
    </row>
    <row r="28" spans="2:18">
      <c r="B28" s="232">
        <f t="shared" si="0"/>
        <v>21</v>
      </c>
      <c r="C28" s="345" t="s">
        <v>532</v>
      </c>
      <c r="D28" s="345" t="s">
        <v>533</v>
      </c>
      <c r="E28" s="345">
        <v>56</v>
      </c>
      <c r="F28" s="1"/>
      <c r="G28" s="239">
        <f t="shared" si="1"/>
        <v>21</v>
      </c>
      <c r="H28" s="6" t="s">
        <v>554</v>
      </c>
      <c r="I28" s="6" t="s">
        <v>555</v>
      </c>
      <c r="J28" s="6">
        <v>60</v>
      </c>
      <c r="K28" s="5"/>
      <c r="L28" s="239">
        <f t="shared" si="2"/>
        <v>21</v>
      </c>
      <c r="M28" s="2" t="s">
        <v>556</v>
      </c>
      <c r="N28" s="2" t="s">
        <v>557</v>
      </c>
      <c r="O28" s="2">
        <v>53</v>
      </c>
    </row>
    <row r="29" spans="2:18">
      <c r="B29" s="232">
        <f t="shared" si="0"/>
        <v>22</v>
      </c>
      <c r="C29" s="346" t="s">
        <v>554</v>
      </c>
      <c r="D29" s="346" t="s">
        <v>555</v>
      </c>
      <c r="E29" s="345">
        <v>57</v>
      </c>
      <c r="G29" s="239">
        <f t="shared" si="1"/>
        <v>22</v>
      </c>
      <c r="H29" s="14" t="s">
        <v>548</v>
      </c>
      <c r="I29" s="14" t="s">
        <v>549</v>
      </c>
      <c r="J29" s="14">
        <v>64</v>
      </c>
      <c r="K29" s="5"/>
      <c r="L29" s="239">
        <f t="shared" si="2"/>
        <v>22</v>
      </c>
      <c r="M29" s="2" t="s">
        <v>536</v>
      </c>
      <c r="N29" s="2" t="s">
        <v>537</v>
      </c>
      <c r="O29" s="2">
        <v>55</v>
      </c>
    </row>
    <row r="30" spans="2:18">
      <c r="B30" s="232">
        <f t="shared" si="0"/>
        <v>23</v>
      </c>
      <c r="C30" s="345" t="s">
        <v>548</v>
      </c>
      <c r="D30" s="345" t="s">
        <v>549</v>
      </c>
      <c r="E30" s="345">
        <v>60</v>
      </c>
      <c r="F30" s="1"/>
      <c r="G30" s="239">
        <f t="shared" si="1"/>
        <v>23</v>
      </c>
      <c r="H30" s="14" t="s">
        <v>558</v>
      </c>
      <c r="I30" s="14" t="s">
        <v>559</v>
      </c>
      <c r="J30" s="14">
        <v>67</v>
      </c>
      <c r="K30" s="5"/>
      <c r="L30" s="239">
        <f t="shared" si="2"/>
        <v>23</v>
      </c>
      <c r="M30" s="2" t="s">
        <v>528</v>
      </c>
      <c r="N30" s="2" t="s">
        <v>529</v>
      </c>
      <c r="O30" s="2">
        <v>58</v>
      </c>
    </row>
    <row r="31" spans="2:18">
      <c r="B31" s="232">
        <f t="shared" si="0"/>
        <v>24</v>
      </c>
      <c r="C31" s="322" t="s">
        <v>558</v>
      </c>
      <c r="D31" s="322" t="s">
        <v>559</v>
      </c>
      <c r="E31" s="321">
        <v>63</v>
      </c>
      <c r="F31" s="1"/>
      <c r="G31" s="239">
        <f t="shared" si="1"/>
        <v>24</v>
      </c>
      <c r="H31" s="14" t="s">
        <v>532</v>
      </c>
      <c r="I31" s="14" t="s">
        <v>533</v>
      </c>
      <c r="J31" s="14">
        <v>67</v>
      </c>
      <c r="K31" s="5"/>
      <c r="L31" s="239">
        <f t="shared" si="2"/>
        <v>24</v>
      </c>
      <c r="M31" s="15" t="s">
        <v>558</v>
      </c>
      <c r="N31" s="15" t="s">
        <v>559</v>
      </c>
      <c r="O31" s="15">
        <v>64</v>
      </c>
    </row>
    <row r="32" spans="2:18">
      <c r="B32" s="232">
        <f t="shared" si="0"/>
        <v>25</v>
      </c>
      <c r="C32" s="321" t="s">
        <v>556</v>
      </c>
      <c r="D32" s="321" t="s">
        <v>557</v>
      </c>
      <c r="E32" s="321">
        <v>64</v>
      </c>
      <c r="F32" s="1"/>
      <c r="G32" s="239">
        <f t="shared" si="1"/>
        <v>25</v>
      </c>
      <c r="H32" s="16" t="s">
        <v>556</v>
      </c>
      <c r="I32" s="16" t="s">
        <v>557</v>
      </c>
      <c r="J32" s="14">
        <v>68</v>
      </c>
      <c r="K32" s="5"/>
      <c r="L32" s="239">
        <f t="shared" si="2"/>
        <v>25</v>
      </c>
      <c r="M32" s="15" t="s">
        <v>560</v>
      </c>
      <c r="N32" s="15" t="s">
        <v>561</v>
      </c>
      <c r="O32" s="15">
        <v>65</v>
      </c>
    </row>
    <row r="33" spans="2:15">
      <c r="B33" s="232">
        <f t="shared" si="0"/>
        <v>26</v>
      </c>
      <c r="C33" s="321" t="s">
        <v>560</v>
      </c>
      <c r="D33" s="321" t="s">
        <v>561</v>
      </c>
      <c r="E33" s="321">
        <v>78</v>
      </c>
      <c r="G33" s="239">
        <f t="shared" si="1"/>
        <v>26</v>
      </c>
      <c r="H33" s="14" t="s">
        <v>560</v>
      </c>
      <c r="I33" s="14" t="s">
        <v>561</v>
      </c>
      <c r="J33" s="14">
        <v>80</v>
      </c>
      <c r="K33" s="5"/>
      <c r="L33" s="239">
        <f t="shared" si="2"/>
        <v>26</v>
      </c>
      <c r="M33" s="15" t="s">
        <v>562</v>
      </c>
      <c r="N33" s="15" t="s">
        <v>563</v>
      </c>
      <c r="O33" s="15">
        <v>65</v>
      </c>
    </row>
    <row r="34" spans="2:15">
      <c r="B34" s="232">
        <f t="shared" si="0"/>
        <v>27</v>
      </c>
      <c r="C34" s="322" t="s">
        <v>564</v>
      </c>
      <c r="D34" s="322" t="s">
        <v>565</v>
      </c>
      <c r="E34" s="321">
        <v>81</v>
      </c>
      <c r="F34" s="1"/>
      <c r="G34" s="239">
        <f t="shared" si="1"/>
        <v>27</v>
      </c>
      <c r="H34" s="14" t="s">
        <v>564</v>
      </c>
      <c r="I34" s="14" t="s">
        <v>566</v>
      </c>
      <c r="J34" s="14">
        <v>81</v>
      </c>
      <c r="K34" s="5"/>
      <c r="L34" s="239">
        <f t="shared" si="2"/>
        <v>27</v>
      </c>
      <c r="M34" s="15" t="s">
        <v>554</v>
      </c>
      <c r="N34" s="15" t="s">
        <v>555</v>
      </c>
      <c r="O34" s="15">
        <v>73</v>
      </c>
    </row>
    <row r="35" spans="2:15">
      <c r="B35" s="232">
        <f t="shared" si="0"/>
        <v>28</v>
      </c>
      <c r="C35" s="321" t="s">
        <v>562</v>
      </c>
      <c r="D35" s="321" t="s">
        <v>563</v>
      </c>
      <c r="E35" s="321">
        <v>82</v>
      </c>
      <c r="F35" s="1"/>
      <c r="G35" s="239">
        <f t="shared" si="1"/>
        <v>28</v>
      </c>
      <c r="H35" s="16" t="s">
        <v>562</v>
      </c>
      <c r="I35" s="16" t="s">
        <v>563</v>
      </c>
      <c r="J35" s="14">
        <v>82</v>
      </c>
      <c r="K35" s="5"/>
      <c r="L35" s="239">
        <f t="shared" si="2"/>
        <v>28</v>
      </c>
      <c r="M35" s="17" t="s">
        <v>564</v>
      </c>
      <c r="N35" s="17" t="s">
        <v>566</v>
      </c>
      <c r="O35" s="17">
        <v>74</v>
      </c>
    </row>
    <row r="36" spans="2:15">
      <c r="C36" s="5"/>
      <c r="D36" s="5"/>
      <c r="E36" s="5"/>
      <c r="G36" s="239"/>
      <c r="H36" s="2"/>
      <c r="I36" s="2"/>
      <c r="J36" s="2"/>
      <c r="K36" s="8"/>
      <c r="L36" s="240"/>
      <c r="M36" s="1"/>
      <c r="N36" s="1"/>
      <c r="O36" s="1"/>
    </row>
    <row r="37" spans="2:15">
      <c r="C37" s="5"/>
      <c r="D37" s="5"/>
      <c r="E37" s="5"/>
      <c r="G37" s="239"/>
    </row>
    <row r="38" spans="2:15">
      <c r="E38"/>
      <c r="G38" s="239"/>
    </row>
    <row r="39" spans="2:15">
      <c r="D39" s="12" t="s">
        <v>567</v>
      </c>
      <c r="E39" s="18">
        <f>AVERAGE(E8:E37)</f>
        <v>43.5</v>
      </c>
      <c r="I39" s="12" t="s">
        <v>567</v>
      </c>
      <c r="J39" s="18">
        <f>AVERAGE(J8:J35)</f>
        <v>43.5</v>
      </c>
      <c r="K39" s="235"/>
      <c r="N39" s="12" t="s">
        <v>567</v>
      </c>
      <c r="O39" s="18">
        <f>AVERAGE(O8:O35)</f>
        <v>43.5</v>
      </c>
    </row>
    <row r="40" spans="2:15">
      <c r="D40" s="19" t="s">
        <v>568</v>
      </c>
      <c r="E40" s="20">
        <f>STDEVA(E8:E37)</f>
        <v>19.02143040927298</v>
      </c>
      <c r="F40" s="1"/>
      <c r="G40" s="239"/>
      <c r="I40" s="19" t="s">
        <v>568</v>
      </c>
      <c r="J40" s="20">
        <f>STDEVA(J8:J35)</f>
        <v>20.231072544388159</v>
      </c>
      <c r="K40" s="236"/>
      <c r="N40" s="19" t="s">
        <v>568</v>
      </c>
      <c r="O40" s="20">
        <f>STDEVA(O8:O35)</f>
        <v>16.324260518672247</v>
      </c>
    </row>
    <row r="41" spans="2:15">
      <c r="D41" s="3" t="s">
        <v>92</v>
      </c>
      <c r="E41" s="21">
        <f>E39-E40</f>
        <v>24.47856959072702</v>
      </c>
      <c r="G41" s="239"/>
      <c r="I41" s="3" t="s">
        <v>92</v>
      </c>
      <c r="J41" s="21">
        <f>J39-J40</f>
        <v>23.268927455611841</v>
      </c>
      <c r="K41" s="237"/>
      <c r="N41" s="3" t="s">
        <v>92</v>
      </c>
      <c r="O41" s="21">
        <f>O39-O40</f>
        <v>27.175739481327753</v>
      </c>
    </row>
    <row r="42" spans="2:15">
      <c r="C42" s="2"/>
      <c r="D42" s="14" t="s">
        <v>93</v>
      </c>
      <c r="E42" s="22">
        <f>E39+E40</f>
        <v>62.52143040927298</v>
      </c>
      <c r="F42" s="1"/>
      <c r="G42" s="239"/>
      <c r="H42" s="2"/>
      <c r="I42" s="14" t="s">
        <v>93</v>
      </c>
      <c r="J42" s="22">
        <f>J39+J40</f>
        <v>63.731072544388155</v>
      </c>
      <c r="K42" s="237"/>
      <c r="N42" s="14" t="s">
        <v>93</v>
      </c>
      <c r="O42" s="22">
        <f>O39+O40</f>
        <v>59.824260518672247</v>
      </c>
    </row>
    <row r="43" spans="2:15">
      <c r="C43" s="2"/>
      <c r="D43" s="2"/>
      <c r="E43" s="243"/>
      <c r="F43" s="1"/>
      <c r="G43" s="240"/>
      <c r="H43" s="1"/>
      <c r="I43" s="1"/>
      <c r="J43" s="1"/>
      <c r="K43" s="234"/>
      <c r="L43" s="240"/>
      <c r="M43" s="1"/>
      <c r="N43" s="1"/>
      <c r="O43" s="1"/>
    </row>
    <row r="44" spans="2:15">
      <c r="C44" s="2"/>
      <c r="D44" s="2"/>
      <c r="E44" s="243"/>
      <c r="F44" s="1"/>
      <c r="G44" s="240"/>
      <c r="H44" s="1"/>
      <c r="I44" s="1"/>
      <c r="J44" s="1"/>
      <c r="K44" s="234"/>
      <c r="L44" s="240"/>
      <c r="M44" s="1"/>
      <c r="N44" s="1"/>
      <c r="O44" s="1"/>
    </row>
    <row r="45" spans="2:15" ht="20">
      <c r="C45" s="34" t="s">
        <v>333</v>
      </c>
      <c r="F45" s="1"/>
      <c r="G45" s="240"/>
      <c r="H45" s="1"/>
      <c r="I45" s="1"/>
      <c r="J45" s="1"/>
      <c r="K45" s="234"/>
    </row>
    <row r="46" spans="2:15">
      <c r="L46" s="240"/>
      <c r="M46" s="1"/>
      <c r="N46" s="1"/>
      <c r="O46" s="1"/>
    </row>
    <row r="47" spans="2:15">
      <c r="C47" s="1" t="s">
        <v>507</v>
      </c>
      <c r="D47" s="1"/>
      <c r="E47" s="241"/>
      <c r="G47" s="240"/>
      <c r="H47" s="1" t="s">
        <v>508</v>
      </c>
      <c r="I47" s="1"/>
      <c r="J47" s="1"/>
      <c r="K47" s="234"/>
      <c r="L47" s="240"/>
      <c r="M47" s="1" t="s">
        <v>509</v>
      </c>
      <c r="O47" s="1"/>
    </row>
    <row r="48" spans="2:15">
      <c r="C48" s="1"/>
      <c r="D48" s="1"/>
      <c r="E48" s="241"/>
      <c r="G48" s="240"/>
      <c r="H48" s="1"/>
      <c r="I48" s="1"/>
      <c r="J48" s="1"/>
      <c r="K48" s="234"/>
      <c r="L48" s="240"/>
      <c r="M48" s="1"/>
      <c r="N48" s="1"/>
      <c r="O48" s="1"/>
    </row>
    <row r="49" spans="2:15" ht="15" thickBot="1">
      <c r="B49" s="244" t="s">
        <v>87</v>
      </c>
      <c r="C49" s="245" t="s">
        <v>88</v>
      </c>
      <c r="D49" s="245" t="s">
        <v>89</v>
      </c>
      <c r="E49" s="246" t="s">
        <v>90</v>
      </c>
      <c r="F49" s="1"/>
      <c r="G49" s="244" t="s">
        <v>87</v>
      </c>
      <c r="H49" s="245" t="s">
        <v>88</v>
      </c>
      <c r="I49" s="245" t="s">
        <v>89</v>
      </c>
      <c r="J49" s="245" t="s">
        <v>90</v>
      </c>
      <c r="L49" s="244" t="s">
        <v>87</v>
      </c>
      <c r="M49" s="245" t="s">
        <v>88</v>
      </c>
      <c r="N49" s="245" t="s">
        <v>89</v>
      </c>
      <c r="O49" s="245" t="s">
        <v>90</v>
      </c>
    </row>
    <row r="50" spans="2:15">
      <c r="B50" s="239">
        <v>1</v>
      </c>
      <c r="C50" s="24" t="s">
        <v>569</v>
      </c>
      <c r="D50" s="24" t="s">
        <v>570</v>
      </c>
      <c r="E50" s="24">
        <v>40</v>
      </c>
      <c r="G50" s="239">
        <v>1</v>
      </c>
      <c r="H50" s="7" t="s">
        <v>571</v>
      </c>
      <c r="I50" s="7" t="s">
        <v>572</v>
      </c>
      <c r="J50" s="7">
        <v>30</v>
      </c>
      <c r="L50" s="239">
        <v>1</v>
      </c>
      <c r="M50" s="7" t="s">
        <v>573</v>
      </c>
      <c r="N50" s="7" t="s">
        <v>574</v>
      </c>
      <c r="O50" s="7">
        <v>17</v>
      </c>
    </row>
    <row r="51" spans="2:15">
      <c r="B51" s="239">
        <f>B50+1</f>
        <v>2</v>
      </c>
      <c r="C51" s="23" t="s">
        <v>571</v>
      </c>
      <c r="D51" s="23" t="s">
        <v>572</v>
      </c>
      <c r="E51" s="23">
        <v>41</v>
      </c>
      <c r="G51" s="239">
        <f>G50+1</f>
        <v>2</v>
      </c>
      <c r="H51" s="7" t="s">
        <v>569</v>
      </c>
      <c r="I51" s="7" t="s">
        <v>570</v>
      </c>
      <c r="J51" s="7">
        <v>37</v>
      </c>
      <c r="L51" s="239">
        <f>L50+1</f>
        <v>2</v>
      </c>
      <c r="M51" s="7" t="s">
        <v>577</v>
      </c>
      <c r="N51" s="7" t="s">
        <v>578</v>
      </c>
      <c r="O51" s="7">
        <v>34</v>
      </c>
    </row>
    <row r="52" spans="2:15">
      <c r="B52" s="239">
        <f t="shared" ref="B52:B115" si="3">B51+1</f>
        <v>3</v>
      </c>
      <c r="C52" s="23" t="s">
        <v>577</v>
      </c>
      <c r="D52" s="23" t="s">
        <v>578</v>
      </c>
      <c r="E52" s="23">
        <v>50</v>
      </c>
      <c r="G52" s="239">
        <f t="shared" ref="G52:G115" si="4">G51+1</f>
        <v>3</v>
      </c>
      <c r="H52" s="7" t="s">
        <v>579</v>
      </c>
      <c r="I52" s="7" t="s">
        <v>580</v>
      </c>
      <c r="J52" s="7">
        <v>42</v>
      </c>
      <c r="L52" s="239">
        <f t="shared" ref="L52:L115" si="5">L51+1</f>
        <v>3</v>
      </c>
      <c r="M52" s="7" t="s">
        <v>571</v>
      </c>
      <c r="N52" s="7" t="s">
        <v>572</v>
      </c>
      <c r="O52" s="7">
        <v>51</v>
      </c>
    </row>
    <row r="53" spans="2:15">
      <c r="B53" s="239">
        <f t="shared" si="3"/>
        <v>4</v>
      </c>
      <c r="C53" s="24" t="s">
        <v>573</v>
      </c>
      <c r="D53" s="24" t="s">
        <v>574</v>
      </c>
      <c r="E53" s="24">
        <v>52</v>
      </c>
      <c r="G53" s="239">
        <f t="shared" si="4"/>
        <v>4</v>
      </c>
      <c r="H53" s="7" t="s">
        <v>573</v>
      </c>
      <c r="I53" s="7" t="s">
        <v>574</v>
      </c>
      <c r="J53" s="7">
        <v>51</v>
      </c>
      <c r="L53" s="239">
        <f t="shared" si="5"/>
        <v>4</v>
      </c>
      <c r="M53" s="7" t="s">
        <v>579</v>
      </c>
      <c r="N53" s="7" t="s">
        <v>580</v>
      </c>
      <c r="O53" s="7">
        <v>59</v>
      </c>
    </row>
    <row r="54" spans="2:15">
      <c r="B54" s="239">
        <f t="shared" si="3"/>
        <v>5</v>
      </c>
      <c r="C54" s="23" t="s">
        <v>579</v>
      </c>
      <c r="D54" s="23" t="s">
        <v>580</v>
      </c>
      <c r="E54" s="23">
        <v>55</v>
      </c>
      <c r="G54" s="239">
        <f t="shared" si="4"/>
        <v>5</v>
      </c>
      <c r="H54" s="7" t="s">
        <v>575</v>
      </c>
      <c r="I54" s="7" t="s">
        <v>576</v>
      </c>
      <c r="J54" s="7">
        <v>52</v>
      </c>
      <c r="L54" s="239">
        <f t="shared" si="5"/>
        <v>5</v>
      </c>
      <c r="M54" s="7" t="s">
        <v>581</v>
      </c>
      <c r="N54" s="7" t="s">
        <v>582</v>
      </c>
      <c r="O54" s="7">
        <v>71</v>
      </c>
    </row>
    <row r="55" spans="2:15">
      <c r="B55" s="239">
        <f t="shared" si="3"/>
        <v>6</v>
      </c>
      <c r="C55" s="23" t="s">
        <v>583</v>
      </c>
      <c r="D55" s="23" t="s">
        <v>584</v>
      </c>
      <c r="E55" s="23">
        <v>74</v>
      </c>
      <c r="G55" s="239">
        <f t="shared" si="4"/>
        <v>6</v>
      </c>
      <c r="H55" s="7" t="s">
        <v>577</v>
      </c>
      <c r="I55" s="7" t="s">
        <v>578</v>
      </c>
      <c r="J55" s="7">
        <v>61</v>
      </c>
      <c r="L55" s="239">
        <f t="shared" si="5"/>
        <v>6</v>
      </c>
      <c r="M55" s="7" t="s">
        <v>585</v>
      </c>
      <c r="N55" s="7" t="s">
        <v>586</v>
      </c>
      <c r="O55" s="7">
        <v>77</v>
      </c>
    </row>
    <row r="56" spans="2:15">
      <c r="B56" s="239">
        <f t="shared" si="3"/>
        <v>7</v>
      </c>
      <c r="C56" s="23" t="s">
        <v>575</v>
      </c>
      <c r="D56" s="23" t="s">
        <v>576</v>
      </c>
      <c r="E56" s="23">
        <v>76</v>
      </c>
      <c r="G56" s="239">
        <f t="shared" si="4"/>
        <v>7</v>
      </c>
      <c r="H56" s="7" t="s">
        <v>583</v>
      </c>
      <c r="I56" s="7" t="s">
        <v>584</v>
      </c>
      <c r="J56" s="7">
        <v>68</v>
      </c>
      <c r="L56" s="239">
        <f t="shared" si="5"/>
        <v>7</v>
      </c>
      <c r="M56" s="7" t="s">
        <v>583</v>
      </c>
      <c r="N56" s="7" t="s">
        <v>584</v>
      </c>
      <c r="O56" s="7">
        <v>79</v>
      </c>
    </row>
    <row r="57" spans="2:15">
      <c r="B57" s="239">
        <f t="shared" si="3"/>
        <v>8</v>
      </c>
      <c r="C57" s="23" t="s">
        <v>587</v>
      </c>
      <c r="D57" s="23" t="s">
        <v>588</v>
      </c>
      <c r="E57" s="23">
        <v>78</v>
      </c>
      <c r="G57" s="239">
        <f t="shared" si="4"/>
        <v>8</v>
      </c>
      <c r="H57" s="7" t="s">
        <v>591</v>
      </c>
      <c r="I57" s="7" t="s">
        <v>592</v>
      </c>
      <c r="J57" s="7">
        <v>72</v>
      </c>
      <c r="L57" s="239">
        <f t="shared" si="5"/>
        <v>8</v>
      </c>
      <c r="M57" s="7" t="s">
        <v>587</v>
      </c>
      <c r="N57" s="7" t="s">
        <v>588</v>
      </c>
      <c r="O57" s="7">
        <v>79</v>
      </c>
    </row>
    <row r="58" spans="2:15">
      <c r="B58" s="239">
        <f t="shared" si="3"/>
        <v>9</v>
      </c>
      <c r="C58" s="23" t="s">
        <v>599</v>
      </c>
      <c r="D58" s="23" t="s">
        <v>600</v>
      </c>
      <c r="E58" s="23">
        <v>82</v>
      </c>
      <c r="G58" s="239">
        <f t="shared" si="4"/>
        <v>9</v>
      </c>
      <c r="H58" s="4" t="s">
        <v>585</v>
      </c>
      <c r="I58" s="4" t="s">
        <v>586</v>
      </c>
      <c r="J58" s="4">
        <v>83</v>
      </c>
      <c r="K58" s="8"/>
      <c r="L58" s="239">
        <f t="shared" si="5"/>
        <v>9</v>
      </c>
      <c r="M58" s="7" t="s">
        <v>591</v>
      </c>
      <c r="N58" s="7" t="s">
        <v>592</v>
      </c>
      <c r="O58" s="7">
        <v>80</v>
      </c>
    </row>
    <row r="59" spans="2:15">
      <c r="B59" s="239">
        <f t="shared" si="3"/>
        <v>10</v>
      </c>
      <c r="C59" s="23" t="s">
        <v>591</v>
      </c>
      <c r="D59" s="23" t="s">
        <v>592</v>
      </c>
      <c r="E59" s="23">
        <v>83</v>
      </c>
      <c r="G59" s="239">
        <f t="shared" si="4"/>
        <v>10</v>
      </c>
      <c r="H59" s="7" t="s">
        <v>589</v>
      </c>
      <c r="I59" s="7" t="s">
        <v>590</v>
      </c>
      <c r="J59" s="7">
        <v>84</v>
      </c>
      <c r="L59" s="239">
        <f t="shared" si="5"/>
        <v>10</v>
      </c>
      <c r="M59" s="7" t="s">
        <v>595</v>
      </c>
      <c r="N59" s="7" t="s">
        <v>596</v>
      </c>
      <c r="O59" s="7">
        <v>82</v>
      </c>
    </row>
    <row r="60" spans="2:15">
      <c r="B60" s="239">
        <f t="shared" si="3"/>
        <v>11</v>
      </c>
      <c r="C60" s="23" t="s">
        <v>593</v>
      </c>
      <c r="D60" s="23" t="s">
        <v>594</v>
      </c>
      <c r="E60" s="23">
        <v>85</v>
      </c>
      <c r="G60" s="239">
        <f t="shared" si="4"/>
        <v>11</v>
      </c>
      <c r="H60" s="7" t="s">
        <v>599</v>
      </c>
      <c r="I60" s="7" t="s">
        <v>600</v>
      </c>
      <c r="J60" s="7">
        <v>88</v>
      </c>
      <c r="L60" s="239">
        <f t="shared" si="5"/>
        <v>11</v>
      </c>
      <c r="M60" s="7" t="s">
        <v>569</v>
      </c>
      <c r="N60" s="7" t="s">
        <v>570</v>
      </c>
      <c r="O60" s="7">
        <v>85</v>
      </c>
    </row>
    <row r="61" spans="2:15">
      <c r="B61" s="239">
        <f t="shared" si="3"/>
        <v>12</v>
      </c>
      <c r="C61" s="23" t="s">
        <v>589</v>
      </c>
      <c r="D61" s="23" t="s">
        <v>590</v>
      </c>
      <c r="E61" s="23">
        <v>85</v>
      </c>
      <c r="G61" s="239">
        <f t="shared" si="4"/>
        <v>12</v>
      </c>
      <c r="H61" s="7" t="s">
        <v>581</v>
      </c>
      <c r="I61" s="7" t="s">
        <v>582</v>
      </c>
      <c r="J61" s="7">
        <v>90</v>
      </c>
      <c r="L61" s="239">
        <f t="shared" si="5"/>
        <v>12</v>
      </c>
      <c r="M61" s="7" t="s">
        <v>589</v>
      </c>
      <c r="N61" s="7" t="s">
        <v>590</v>
      </c>
      <c r="O61" s="7">
        <v>91</v>
      </c>
    </row>
    <row r="62" spans="2:15">
      <c r="B62" s="239">
        <f t="shared" si="3"/>
        <v>13</v>
      </c>
      <c r="C62" s="23" t="s">
        <v>581</v>
      </c>
      <c r="D62" s="23" t="s">
        <v>582</v>
      </c>
      <c r="E62" s="23">
        <v>87</v>
      </c>
      <c r="G62" s="239">
        <f t="shared" si="4"/>
        <v>13</v>
      </c>
      <c r="H62" s="7" t="s">
        <v>587</v>
      </c>
      <c r="I62" s="7" t="s">
        <v>588</v>
      </c>
      <c r="J62" s="7">
        <v>90</v>
      </c>
      <c r="L62" s="239">
        <f t="shared" si="5"/>
        <v>13</v>
      </c>
      <c r="M62" s="7" t="s">
        <v>593</v>
      </c>
      <c r="N62" s="7" t="s">
        <v>594</v>
      </c>
      <c r="O62" s="7">
        <v>92</v>
      </c>
    </row>
    <row r="63" spans="2:15">
      <c r="B63" s="239">
        <f t="shared" si="3"/>
        <v>14</v>
      </c>
      <c r="C63" s="23" t="s">
        <v>597</v>
      </c>
      <c r="D63" s="23" t="s">
        <v>598</v>
      </c>
      <c r="E63" s="23">
        <v>89</v>
      </c>
      <c r="G63" s="239">
        <f t="shared" si="4"/>
        <v>14</v>
      </c>
      <c r="H63" s="7" t="s">
        <v>601</v>
      </c>
      <c r="I63" s="7" t="s">
        <v>602</v>
      </c>
      <c r="J63" s="7">
        <v>91</v>
      </c>
      <c r="L63" s="239">
        <f t="shared" si="5"/>
        <v>14</v>
      </c>
      <c r="M63" s="7" t="s">
        <v>603</v>
      </c>
      <c r="N63" s="7" t="s">
        <v>604</v>
      </c>
      <c r="O63" s="7">
        <v>95</v>
      </c>
    </row>
    <row r="64" spans="2:15">
      <c r="B64" s="239">
        <f t="shared" si="3"/>
        <v>15</v>
      </c>
      <c r="C64" s="23" t="s">
        <v>601</v>
      </c>
      <c r="D64" s="23" t="s">
        <v>602</v>
      </c>
      <c r="E64" s="23">
        <v>95</v>
      </c>
      <c r="G64" s="239">
        <f t="shared" si="4"/>
        <v>15</v>
      </c>
      <c r="H64" s="7" t="s">
        <v>605</v>
      </c>
      <c r="I64" s="7" t="s">
        <v>606</v>
      </c>
      <c r="J64" s="7">
        <v>96</v>
      </c>
      <c r="L64" s="239">
        <f t="shared" si="5"/>
        <v>15</v>
      </c>
      <c r="M64" s="7" t="s">
        <v>575</v>
      </c>
      <c r="N64" s="7" t="s">
        <v>576</v>
      </c>
      <c r="O64" s="7">
        <v>97</v>
      </c>
    </row>
    <row r="65" spans="2:15">
      <c r="B65" s="239">
        <f t="shared" si="3"/>
        <v>16</v>
      </c>
      <c r="C65" s="23" t="s">
        <v>585</v>
      </c>
      <c r="D65" s="23" t="s">
        <v>586</v>
      </c>
      <c r="E65" s="23">
        <v>96</v>
      </c>
      <c r="G65" s="239">
        <f t="shared" si="4"/>
        <v>16</v>
      </c>
      <c r="H65" s="7" t="s">
        <v>597</v>
      </c>
      <c r="I65" s="7" t="s">
        <v>598</v>
      </c>
      <c r="J65" s="7">
        <v>97</v>
      </c>
      <c r="L65" s="239">
        <f t="shared" si="5"/>
        <v>16</v>
      </c>
      <c r="M65" s="7" t="s">
        <v>607</v>
      </c>
      <c r="N65" s="7" t="s">
        <v>608</v>
      </c>
      <c r="O65" s="7">
        <v>102</v>
      </c>
    </row>
    <row r="66" spans="2:15">
      <c r="B66" s="239">
        <f t="shared" si="3"/>
        <v>17</v>
      </c>
      <c r="C66" s="23" t="s">
        <v>607</v>
      </c>
      <c r="D66" s="23" t="s">
        <v>608</v>
      </c>
      <c r="E66" s="23">
        <v>97</v>
      </c>
      <c r="G66" s="239">
        <f t="shared" si="4"/>
        <v>17</v>
      </c>
      <c r="H66" s="7" t="s">
        <v>609</v>
      </c>
      <c r="I66" s="7" t="s">
        <v>610</v>
      </c>
      <c r="J66" s="7">
        <v>97</v>
      </c>
      <c r="L66" s="239">
        <f t="shared" si="5"/>
        <v>17</v>
      </c>
      <c r="M66" s="7" t="s">
        <v>611</v>
      </c>
      <c r="N66" s="7" t="s">
        <v>612</v>
      </c>
      <c r="O66" s="7">
        <v>105</v>
      </c>
    </row>
    <row r="67" spans="2:15">
      <c r="B67" s="239">
        <f t="shared" si="3"/>
        <v>18</v>
      </c>
      <c r="C67" s="23" t="s">
        <v>605</v>
      </c>
      <c r="D67" s="23" t="s">
        <v>606</v>
      </c>
      <c r="E67" s="23">
        <v>99</v>
      </c>
      <c r="G67" s="239">
        <f t="shared" si="4"/>
        <v>18</v>
      </c>
      <c r="H67" s="7" t="s">
        <v>595</v>
      </c>
      <c r="I67" s="7" t="s">
        <v>596</v>
      </c>
      <c r="J67" s="7">
        <v>103</v>
      </c>
      <c r="L67" s="239">
        <f t="shared" si="5"/>
        <v>18</v>
      </c>
      <c r="M67" s="7" t="s">
        <v>615</v>
      </c>
      <c r="N67" s="7" t="s">
        <v>616</v>
      </c>
      <c r="O67" s="7">
        <v>111</v>
      </c>
    </row>
    <row r="68" spans="2:15">
      <c r="B68" s="239">
        <f t="shared" si="3"/>
        <v>19</v>
      </c>
      <c r="C68" s="23" t="s">
        <v>595</v>
      </c>
      <c r="D68" s="23" t="s">
        <v>596</v>
      </c>
      <c r="E68" s="23">
        <v>102</v>
      </c>
      <c r="G68" s="239">
        <f t="shared" si="4"/>
        <v>19</v>
      </c>
      <c r="H68" s="7" t="s">
        <v>617</v>
      </c>
      <c r="I68" s="7" t="s">
        <v>618</v>
      </c>
      <c r="J68" s="7">
        <v>105</v>
      </c>
      <c r="L68" s="239">
        <f t="shared" si="5"/>
        <v>19</v>
      </c>
      <c r="M68" s="7" t="s">
        <v>601</v>
      </c>
      <c r="N68" s="7" t="s">
        <v>602</v>
      </c>
      <c r="O68" s="7">
        <v>111</v>
      </c>
    </row>
    <row r="69" spans="2:15">
      <c r="B69" s="239">
        <f t="shared" si="3"/>
        <v>20</v>
      </c>
      <c r="C69" s="23" t="s">
        <v>613</v>
      </c>
      <c r="D69" s="23" t="s">
        <v>614</v>
      </c>
      <c r="E69" s="23">
        <v>103</v>
      </c>
      <c r="G69" s="239">
        <f t="shared" si="4"/>
        <v>20</v>
      </c>
      <c r="H69" s="7" t="s">
        <v>619</v>
      </c>
      <c r="I69" s="7" t="s">
        <v>620</v>
      </c>
      <c r="J69" s="7">
        <v>109</v>
      </c>
      <c r="L69" s="239">
        <f t="shared" si="5"/>
        <v>20</v>
      </c>
      <c r="M69" s="7" t="s">
        <v>597</v>
      </c>
      <c r="N69" s="7" t="s">
        <v>598</v>
      </c>
      <c r="O69" s="7">
        <v>112</v>
      </c>
    </row>
    <row r="70" spans="2:15">
      <c r="B70" s="239">
        <f t="shared" si="3"/>
        <v>21</v>
      </c>
      <c r="C70" s="23" t="s">
        <v>645</v>
      </c>
      <c r="D70" s="23" t="s">
        <v>646</v>
      </c>
      <c r="E70" s="23">
        <v>111</v>
      </c>
      <c r="G70" s="239">
        <f t="shared" si="4"/>
        <v>21</v>
      </c>
      <c r="H70" s="7" t="s">
        <v>603</v>
      </c>
      <c r="I70" s="7" t="s">
        <v>604</v>
      </c>
      <c r="J70" s="7">
        <v>112</v>
      </c>
      <c r="L70" s="239">
        <f t="shared" si="5"/>
        <v>21</v>
      </c>
      <c r="M70" s="7" t="s">
        <v>599</v>
      </c>
      <c r="N70" s="7" t="s">
        <v>600</v>
      </c>
      <c r="O70" s="7">
        <v>115</v>
      </c>
    </row>
    <row r="71" spans="2:15">
      <c r="B71" s="239">
        <f t="shared" si="3"/>
        <v>22</v>
      </c>
      <c r="C71" s="23" t="s">
        <v>623</v>
      </c>
      <c r="D71" s="23" t="s">
        <v>624</v>
      </c>
      <c r="E71" s="23">
        <v>112</v>
      </c>
      <c r="G71" s="239">
        <f t="shared" si="4"/>
        <v>22</v>
      </c>
      <c r="H71" s="7" t="s">
        <v>613</v>
      </c>
      <c r="I71" s="7" t="s">
        <v>614</v>
      </c>
      <c r="J71" s="7">
        <v>113</v>
      </c>
      <c r="L71" s="239">
        <f t="shared" si="5"/>
        <v>22</v>
      </c>
      <c r="M71" s="7" t="s">
        <v>619</v>
      </c>
      <c r="N71" s="7" t="s">
        <v>620</v>
      </c>
      <c r="O71" s="7">
        <v>118</v>
      </c>
    </row>
    <row r="72" spans="2:15">
      <c r="B72" s="239">
        <f t="shared" si="3"/>
        <v>23</v>
      </c>
      <c r="C72" s="23" t="s">
        <v>631</v>
      </c>
      <c r="D72" s="23" t="s">
        <v>632</v>
      </c>
      <c r="E72" s="23">
        <v>116</v>
      </c>
      <c r="G72" s="239">
        <f t="shared" si="4"/>
        <v>23</v>
      </c>
      <c r="H72" s="7" t="s">
        <v>623</v>
      </c>
      <c r="I72" s="7" t="s">
        <v>624</v>
      </c>
      <c r="J72" s="7">
        <v>116</v>
      </c>
      <c r="L72" s="239">
        <f t="shared" si="5"/>
        <v>23</v>
      </c>
      <c r="M72" s="7" t="s">
        <v>625</v>
      </c>
      <c r="N72" s="7" t="s">
        <v>626</v>
      </c>
      <c r="O72" s="7">
        <v>121</v>
      </c>
    </row>
    <row r="73" spans="2:15">
      <c r="B73" s="239">
        <f t="shared" si="3"/>
        <v>24</v>
      </c>
      <c r="C73" s="23" t="s">
        <v>625</v>
      </c>
      <c r="D73" s="23" t="s">
        <v>626</v>
      </c>
      <c r="E73" s="23">
        <v>123</v>
      </c>
      <c r="G73" s="239">
        <f t="shared" si="4"/>
        <v>24</v>
      </c>
      <c r="H73" s="7" t="s">
        <v>625</v>
      </c>
      <c r="I73" s="7" t="s">
        <v>626</v>
      </c>
      <c r="J73" s="7">
        <v>116</v>
      </c>
      <c r="L73" s="239">
        <f t="shared" si="5"/>
        <v>24</v>
      </c>
      <c r="M73" s="7" t="s">
        <v>617</v>
      </c>
      <c r="N73" s="7" t="s">
        <v>618</v>
      </c>
      <c r="O73" s="7">
        <v>124</v>
      </c>
    </row>
    <row r="74" spans="2:15">
      <c r="B74" s="239">
        <f t="shared" si="3"/>
        <v>25</v>
      </c>
      <c r="C74" s="23" t="s">
        <v>609</v>
      </c>
      <c r="D74" s="23" t="s">
        <v>610</v>
      </c>
      <c r="E74" s="23">
        <v>125</v>
      </c>
      <c r="G74" s="239">
        <f t="shared" si="4"/>
        <v>25</v>
      </c>
      <c r="H74" s="7" t="s">
        <v>621</v>
      </c>
      <c r="I74" s="7" t="s">
        <v>622</v>
      </c>
      <c r="J74" s="7">
        <v>118</v>
      </c>
      <c r="L74" s="239">
        <f t="shared" si="5"/>
        <v>25</v>
      </c>
      <c r="M74" s="7" t="s">
        <v>629</v>
      </c>
      <c r="N74" s="7" t="s">
        <v>630</v>
      </c>
      <c r="O74" s="7">
        <v>125</v>
      </c>
    </row>
    <row r="75" spans="2:15">
      <c r="B75" s="239">
        <f t="shared" si="3"/>
        <v>26</v>
      </c>
      <c r="C75" s="23" t="s">
        <v>621</v>
      </c>
      <c r="D75" s="23" t="s">
        <v>622</v>
      </c>
      <c r="E75" s="23">
        <v>127</v>
      </c>
      <c r="G75" s="239">
        <f t="shared" si="4"/>
        <v>26</v>
      </c>
      <c r="H75" s="7" t="s">
        <v>607</v>
      </c>
      <c r="I75" s="7" t="s">
        <v>608</v>
      </c>
      <c r="J75" s="7">
        <v>122</v>
      </c>
      <c r="L75" s="239">
        <f t="shared" si="5"/>
        <v>26</v>
      </c>
      <c r="M75" s="7" t="s">
        <v>609</v>
      </c>
      <c r="N75" s="7" t="s">
        <v>610</v>
      </c>
      <c r="O75" s="7">
        <v>133</v>
      </c>
    </row>
    <row r="76" spans="2:15">
      <c r="B76" s="239">
        <f t="shared" si="3"/>
        <v>27</v>
      </c>
      <c r="C76" s="23" t="s">
        <v>603</v>
      </c>
      <c r="D76" s="23" t="s">
        <v>604</v>
      </c>
      <c r="E76" s="23">
        <v>128</v>
      </c>
      <c r="G76" s="239">
        <f t="shared" si="4"/>
        <v>27</v>
      </c>
      <c r="H76" s="7" t="s">
        <v>635</v>
      </c>
      <c r="I76" s="7" t="s">
        <v>636</v>
      </c>
      <c r="J76" s="7">
        <v>124</v>
      </c>
      <c r="L76" s="239">
        <f t="shared" si="5"/>
        <v>27</v>
      </c>
      <c r="M76" s="7" t="s">
        <v>637</v>
      </c>
      <c r="N76" s="7" t="s">
        <v>638</v>
      </c>
      <c r="O76" s="7">
        <v>136</v>
      </c>
    </row>
    <row r="77" spans="2:15">
      <c r="B77" s="239">
        <f t="shared" si="3"/>
        <v>28</v>
      </c>
      <c r="C77" s="23" t="s">
        <v>627</v>
      </c>
      <c r="D77" s="23" t="s">
        <v>628</v>
      </c>
      <c r="E77" s="23">
        <v>130</v>
      </c>
      <c r="G77" s="239">
        <f t="shared" si="4"/>
        <v>28</v>
      </c>
      <c r="H77" s="7" t="s">
        <v>593</v>
      </c>
      <c r="I77" s="7" t="s">
        <v>594</v>
      </c>
      <c r="J77" s="7">
        <v>128</v>
      </c>
      <c r="L77" s="239">
        <f t="shared" si="5"/>
        <v>28</v>
      </c>
      <c r="M77" s="7" t="s">
        <v>633</v>
      </c>
      <c r="N77" s="7" t="s">
        <v>634</v>
      </c>
      <c r="O77" s="7">
        <v>138</v>
      </c>
    </row>
    <row r="78" spans="2:15">
      <c r="B78" s="239">
        <f t="shared" si="3"/>
        <v>29</v>
      </c>
      <c r="C78" s="23" t="s">
        <v>617</v>
      </c>
      <c r="D78" s="23" t="s">
        <v>618</v>
      </c>
      <c r="E78" s="23">
        <v>130</v>
      </c>
      <c r="G78" s="239">
        <f t="shared" si="4"/>
        <v>29</v>
      </c>
      <c r="H78" s="7" t="s">
        <v>615</v>
      </c>
      <c r="I78" s="7" t="s">
        <v>616</v>
      </c>
      <c r="J78" s="7">
        <v>130</v>
      </c>
      <c r="L78" s="239">
        <f t="shared" si="5"/>
        <v>29</v>
      </c>
      <c r="M78" s="7" t="s">
        <v>641</v>
      </c>
      <c r="N78" s="7" t="s">
        <v>642</v>
      </c>
      <c r="O78" s="7">
        <v>139</v>
      </c>
    </row>
    <row r="79" spans="2:15">
      <c r="B79" s="239">
        <f t="shared" si="3"/>
        <v>30</v>
      </c>
      <c r="C79" s="23" t="s">
        <v>653</v>
      </c>
      <c r="D79" s="23" t="s">
        <v>654</v>
      </c>
      <c r="E79" s="23">
        <v>133</v>
      </c>
      <c r="G79" s="239">
        <f t="shared" si="4"/>
        <v>30</v>
      </c>
      <c r="H79" s="7" t="s">
        <v>645</v>
      </c>
      <c r="I79" s="7" t="s">
        <v>646</v>
      </c>
      <c r="J79" s="7">
        <v>131</v>
      </c>
      <c r="L79" s="239">
        <f t="shared" si="5"/>
        <v>30</v>
      </c>
      <c r="M79" s="7" t="s">
        <v>639</v>
      </c>
      <c r="N79" s="7" t="s">
        <v>640</v>
      </c>
      <c r="O79" s="7">
        <v>139</v>
      </c>
    </row>
    <row r="80" spans="2:15">
      <c r="B80" s="239">
        <f t="shared" si="3"/>
        <v>31</v>
      </c>
      <c r="C80" s="23" t="s">
        <v>639</v>
      </c>
      <c r="D80" s="23" t="s">
        <v>640</v>
      </c>
      <c r="E80" s="23">
        <v>133</v>
      </c>
      <c r="G80" s="239">
        <f t="shared" si="4"/>
        <v>31</v>
      </c>
      <c r="H80" s="7" t="s">
        <v>639</v>
      </c>
      <c r="I80" s="7" t="s">
        <v>640</v>
      </c>
      <c r="J80" s="7">
        <v>134</v>
      </c>
      <c r="L80" s="239">
        <f t="shared" si="5"/>
        <v>31</v>
      </c>
      <c r="M80" s="7" t="s">
        <v>635</v>
      </c>
      <c r="N80" s="7" t="s">
        <v>636</v>
      </c>
      <c r="O80" s="7">
        <v>141</v>
      </c>
    </row>
    <row r="81" spans="2:15">
      <c r="B81" s="239">
        <f t="shared" si="3"/>
        <v>32</v>
      </c>
      <c r="C81" s="25" t="s">
        <v>649</v>
      </c>
      <c r="D81" s="25" t="s">
        <v>650</v>
      </c>
      <c r="E81" s="25">
        <v>143</v>
      </c>
      <c r="G81" s="239">
        <f t="shared" si="4"/>
        <v>32</v>
      </c>
      <c r="H81" s="25" t="s">
        <v>651</v>
      </c>
      <c r="I81" s="25" t="s">
        <v>652</v>
      </c>
      <c r="J81" s="25">
        <v>141</v>
      </c>
      <c r="L81" s="239">
        <f t="shared" si="5"/>
        <v>32</v>
      </c>
      <c r="M81" t="s">
        <v>623</v>
      </c>
      <c r="N81" t="s">
        <v>624</v>
      </c>
      <c r="O81">
        <v>149</v>
      </c>
    </row>
    <row r="82" spans="2:15">
      <c r="B82" s="239">
        <f t="shared" si="3"/>
        <v>33</v>
      </c>
      <c r="C82" s="25" t="s">
        <v>647</v>
      </c>
      <c r="D82" s="25" t="s">
        <v>648</v>
      </c>
      <c r="E82" s="25">
        <v>143</v>
      </c>
      <c r="G82" s="239">
        <f t="shared" si="4"/>
        <v>33</v>
      </c>
      <c r="H82" s="25" t="s">
        <v>649</v>
      </c>
      <c r="I82" s="25" t="s">
        <v>650</v>
      </c>
      <c r="J82" s="25">
        <v>143</v>
      </c>
      <c r="L82" s="239">
        <f t="shared" si="5"/>
        <v>33</v>
      </c>
      <c r="M82" t="s">
        <v>653</v>
      </c>
      <c r="N82" t="s">
        <v>654</v>
      </c>
      <c r="O82">
        <v>150</v>
      </c>
    </row>
    <row r="83" spans="2:15">
      <c r="B83" s="239">
        <f t="shared" si="3"/>
        <v>34</v>
      </c>
      <c r="C83" s="25" t="s">
        <v>615</v>
      </c>
      <c r="D83" s="25" t="s">
        <v>616</v>
      </c>
      <c r="E83" s="25">
        <v>144</v>
      </c>
      <c r="G83" s="239">
        <f t="shared" si="4"/>
        <v>34</v>
      </c>
      <c r="H83" s="25" t="s">
        <v>655</v>
      </c>
      <c r="I83" s="25" t="s">
        <v>656</v>
      </c>
      <c r="J83" s="25">
        <v>145</v>
      </c>
      <c r="L83" s="239">
        <f t="shared" si="5"/>
        <v>34</v>
      </c>
      <c r="M83" t="s">
        <v>605</v>
      </c>
      <c r="N83" t="s">
        <v>606</v>
      </c>
      <c r="O83">
        <v>153</v>
      </c>
    </row>
    <row r="84" spans="2:15">
      <c r="B84" s="239">
        <f t="shared" si="3"/>
        <v>35</v>
      </c>
      <c r="C84" s="26" t="s">
        <v>619</v>
      </c>
      <c r="D84" s="26" t="s">
        <v>620</v>
      </c>
      <c r="E84" s="26">
        <v>144</v>
      </c>
      <c r="G84" s="239">
        <f t="shared" si="4"/>
        <v>35</v>
      </c>
      <c r="H84" s="25" t="s">
        <v>657</v>
      </c>
      <c r="I84" s="25" t="s">
        <v>658</v>
      </c>
      <c r="J84" s="25">
        <v>146</v>
      </c>
      <c r="L84" s="239">
        <f t="shared" si="5"/>
        <v>35</v>
      </c>
      <c r="M84" t="s">
        <v>621</v>
      </c>
      <c r="N84" t="s">
        <v>622</v>
      </c>
      <c r="O84">
        <v>153</v>
      </c>
    </row>
    <row r="85" spans="2:15">
      <c r="B85" s="239">
        <f t="shared" si="3"/>
        <v>36</v>
      </c>
      <c r="C85" s="25" t="s">
        <v>611</v>
      </c>
      <c r="D85" s="25" t="s">
        <v>612</v>
      </c>
      <c r="E85" s="25">
        <v>146</v>
      </c>
      <c r="G85" s="239">
        <f t="shared" si="4"/>
        <v>36</v>
      </c>
      <c r="H85" s="25" t="s">
        <v>659</v>
      </c>
      <c r="I85" s="25" t="s">
        <v>660</v>
      </c>
      <c r="J85" s="25">
        <v>148</v>
      </c>
      <c r="L85" s="239">
        <f t="shared" si="5"/>
        <v>36</v>
      </c>
      <c r="M85" t="s">
        <v>661</v>
      </c>
      <c r="N85" t="s">
        <v>662</v>
      </c>
      <c r="O85">
        <v>155</v>
      </c>
    </row>
    <row r="86" spans="2:15">
      <c r="B86" s="239">
        <f t="shared" si="3"/>
        <v>37</v>
      </c>
      <c r="C86" s="25" t="s">
        <v>633</v>
      </c>
      <c r="D86" s="25" t="s">
        <v>634</v>
      </c>
      <c r="E86" s="25">
        <v>147</v>
      </c>
      <c r="G86" s="239">
        <f t="shared" si="4"/>
        <v>37</v>
      </c>
      <c r="H86" s="25" t="s">
        <v>629</v>
      </c>
      <c r="I86" s="25" t="s">
        <v>630</v>
      </c>
      <c r="J86" s="25">
        <v>152</v>
      </c>
      <c r="L86" s="239">
        <f t="shared" si="5"/>
        <v>37</v>
      </c>
      <c r="M86" t="s">
        <v>649</v>
      </c>
      <c r="N86" t="s">
        <v>650</v>
      </c>
      <c r="O86">
        <v>157</v>
      </c>
    </row>
    <row r="87" spans="2:15">
      <c r="B87" s="239">
        <f t="shared" si="3"/>
        <v>38</v>
      </c>
      <c r="C87" s="25" t="s">
        <v>635</v>
      </c>
      <c r="D87" s="25" t="s">
        <v>636</v>
      </c>
      <c r="E87" s="25">
        <v>150</v>
      </c>
      <c r="G87" s="239">
        <f t="shared" si="4"/>
        <v>38</v>
      </c>
      <c r="H87" s="25" t="s">
        <v>627</v>
      </c>
      <c r="I87" s="25" t="s">
        <v>628</v>
      </c>
      <c r="J87" s="25">
        <v>152</v>
      </c>
      <c r="L87" s="239">
        <f t="shared" si="5"/>
        <v>38</v>
      </c>
      <c r="M87" t="s">
        <v>663</v>
      </c>
      <c r="N87" t="s">
        <v>664</v>
      </c>
      <c r="O87">
        <v>158</v>
      </c>
    </row>
    <row r="88" spans="2:15">
      <c r="B88" s="239">
        <f t="shared" si="3"/>
        <v>39</v>
      </c>
      <c r="C88" s="25" t="s">
        <v>643</v>
      </c>
      <c r="D88" s="25" t="s">
        <v>644</v>
      </c>
      <c r="E88" s="25">
        <v>158</v>
      </c>
      <c r="G88" s="239">
        <f t="shared" si="4"/>
        <v>39</v>
      </c>
      <c r="H88" s="26" t="s">
        <v>631</v>
      </c>
      <c r="I88" s="26" t="s">
        <v>632</v>
      </c>
      <c r="J88" s="26">
        <v>153</v>
      </c>
      <c r="K88" s="8"/>
      <c r="L88" s="239">
        <f t="shared" si="5"/>
        <v>39</v>
      </c>
      <c r="M88" t="s">
        <v>627</v>
      </c>
      <c r="N88" t="s">
        <v>628</v>
      </c>
      <c r="O88">
        <v>167</v>
      </c>
    </row>
    <row r="89" spans="2:15">
      <c r="B89" s="239">
        <f t="shared" si="3"/>
        <v>40</v>
      </c>
      <c r="C89" s="25" t="s">
        <v>369</v>
      </c>
      <c r="D89" s="25" t="s">
        <v>370</v>
      </c>
      <c r="E89" s="25">
        <v>167</v>
      </c>
      <c r="G89" s="239">
        <f t="shared" si="4"/>
        <v>40</v>
      </c>
      <c r="H89" s="25" t="s">
        <v>611</v>
      </c>
      <c r="I89" s="25" t="s">
        <v>612</v>
      </c>
      <c r="J89" s="25">
        <v>159</v>
      </c>
      <c r="L89" s="239">
        <f t="shared" si="5"/>
        <v>40</v>
      </c>
      <c r="M89" t="s">
        <v>655</v>
      </c>
      <c r="N89" t="s">
        <v>656</v>
      </c>
      <c r="O89">
        <v>168</v>
      </c>
    </row>
    <row r="90" spans="2:15">
      <c r="B90" s="239">
        <f t="shared" si="3"/>
        <v>41</v>
      </c>
      <c r="C90" s="25" t="s">
        <v>655</v>
      </c>
      <c r="D90" s="25" t="s">
        <v>656</v>
      </c>
      <c r="E90" s="25">
        <v>168</v>
      </c>
      <c r="G90" s="239">
        <f t="shared" si="4"/>
        <v>41</v>
      </c>
      <c r="H90" s="25" t="s">
        <v>647</v>
      </c>
      <c r="I90" s="25" t="s">
        <v>648</v>
      </c>
      <c r="J90" s="25">
        <v>159</v>
      </c>
      <c r="L90" s="239">
        <f t="shared" si="5"/>
        <v>41</v>
      </c>
      <c r="M90" t="s">
        <v>657</v>
      </c>
      <c r="N90" t="s">
        <v>658</v>
      </c>
      <c r="O90">
        <v>168</v>
      </c>
    </row>
    <row r="91" spans="2:15">
      <c r="B91" s="239">
        <f t="shared" si="3"/>
        <v>42</v>
      </c>
      <c r="C91" s="25" t="s">
        <v>367</v>
      </c>
      <c r="D91" s="25" t="s">
        <v>368</v>
      </c>
      <c r="E91" s="25">
        <v>168</v>
      </c>
      <c r="G91" s="239">
        <f t="shared" si="4"/>
        <v>42</v>
      </c>
      <c r="H91" s="25" t="s">
        <v>355</v>
      </c>
      <c r="I91" s="25" t="s">
        <v>356</v>
      </c>
      <c r="J91" s="25">
        <v>165</v>
      </c>
      <c r="L91" s="239">
        <f t="shared" si="5"/>
        <v>42</v>
      </c>
      <c r="M91" t="s">
        <v>359</v>
      </c>
      <c r="N91" t="s">
        <v>360</v>
      </c>
      <c r="O91">
        <v>170</v>
      </c>
    </row>
    <row r="92" spans="2:15">
      <c r="B92" s="239">
        <f t="shared" si="3"/>
        <v>43</v>
      </c>
      <c r="C92" s="25" t="s">
        <v>657</v>
      </c>
      <c r="D92" s="25" t="s">
        <v>658</v>
      </c>
      <c r="E92" s="25">
        <v>168</v>
      </c>
      <c r="G92" s="239">
        <f t="shared" si="4"/>
        <v>43</v>
      </c>
      <c r="H92" s="25" t="s">
        <v>357</v>
      </c>
      <c r="I92" s="25" t="s">
        <v>358</v>
      </c>
      <c r="J92" s="25">
        <v>168</v>
      </c>
      <c r="L92" s="239">
        <f t="shared" si="5"/>
        <v>43</v>
      </c>
      <c r="M92" t="s">
        <v>363</v>
      </c>
      <c r="N92" t="s">
        <v>364</v>
      </c>
      <c r="O92">
        <v>171</v>
      </c>
    </row>
    <row r="93" spans="2:15">
      <c r="B93" s="239">
        <f t="shared" si="3"/>
        <v>44</v>
      </c>
      <c r="C93" s="25" t="s">
        <v>661</v>
      </c>
      <c r="D93" s="25" t="s">
        <v>662</v>
      </c>
      <c r="E93" s="25">
        <v>170</v>
      </c>
      <c r="G93" s="239">
        <f t="shared" si="4"/>
        <v>44</v>
      </c>
      <c r="H93" s="25" t="s">
        <v>367</v>
      </c>
      <c r="I93" s="25" t="s">
        <v>368</v>
      </c>
      <c r="J93" s="25">
        <v>169</v>
      </c>
      <c r="L93" s="239">
        <f t="shared" si="5"/>
        <v>44</v>
      </c>
      <c r="M93" t="s">
        <v>367</v>
      </c>
      <c r="N93" t="s">
        <v>368</v>
      </c>
      <c r="O93">
        <v>171</v>
      </c>
    </row>
    <row r="94" spans="2:15">
      <c r="B94" s="239">
        <f t="shared" si="3"/>
        <v>45</v>
      </c>
      <c r="C94" s="25" t="s">
        <v>659</v>
      </c>
      <c r="D94" s="25" t="s">
        <v>660</v>
      </c>
      <c r="E94" s="25">
        <v>174</v>
      </c>
      <c r="G94" s="239">
        <f t="shared" si="4"/>
        <v>45</v>
      </c>
      <c r="H94" s="25" t="s">
        <v>643</v>
      </c>
      <c r="I94" s="25" t="s">
        <v>644</v>
      </c>
      <c r="J94" s="25">
        <v>169</v>
      </c>
      <c r="L94" s="239">
        <f t="shared" si="5"/>
        <v>45</v>
      </c>
      <c r="M94" t="s">
        <v>371</v>
      </c>
      <c r="N94" t="s">
        <v>372</v>
      </c>
      <c r="O94">
        <v>173</v>
      </c>
    </row>
    <row r="95" spans="2:15">
      <c r="B95" s="239">
        <f t="shared" si="3"/>
        <v>46</v>
      </c>
      <c r="C95" s="25" t="s">
        <v>629</v>
      </c>
      <c r="D95" s="25" t="s">
        <v>630</v>
      </c>
      <c r="E95" s="25">
        <v>175</v>
      </c>
      <c r="G95" s="239">
        <f t="shared" si="4"/>
        <v>46</v>
      </c>
      <c r="H95" s="25" t="s">
        <v>637</v>
      </c>
      <c r="I95" s="25" t="s">
        <v>638</v>
      </c>
      <c r="J95" s="25">
        <v>174</v>
      </c>
      <c r="L95" s="239">
        <f t="shared" si="5"/>
        <v>46</v>
      </c>
      <c r="M95" s="2" t="s">
        <v>373</v>
      </c>
      <c r="N95" s="2" t="s">
        <v>374</v>
      </c>
      <c r="O95" s="2">
        <v>174</v>
      </c>
    </row>
    <row r="96" spans="2:15">
      <c r="B96" s="239">
        <f t="shared" si="3"/>
        <v>47</v>
      </c>
      <c r="C96" s="25" t="s">
        <v>373</v>
      </c>
      <c r="D96" s="25" t="s">
        <v>374</v>
      </c>
      <c r="E96" s="25">
        <v>175</v>
      </c>
      <c r="G96" s="239">
        <f t="shared" si="4"/>
        <v>47</v>
      </c>
      <c r="H96" s="25" t="s">
        <v>375</v>
      </c>
      <c r="I96" s="25" t="s">
        <v>376</v>
      </c>
      <c r="J96" s="25">
        <v>175</v>
      </c>
      <c r="L96" s="239">
        <f t="shared" si="5"/>
        <v>47</v>
      </c>
      <c r="M96" t="s">
        <v>377</v>
      </c>
      <c r="N96" t="s">
        <v>378</v>
      </c>
      <c r="O96">
        <v>178</v>
      </c>
    </row>
    <row r="97" spans="2:15">
      <c r="B97" s="239">
        <f t="shared" si="3"/>
        <v>48</v>
      </c>
      <c r="C97" s="25" t="s">
        <v>637</v>
      </c>
      <c r="D97" s="25" t="s">
        <v>638</v>
      </c>
      <c r="E97" s="25">
        <v>176</v>
      </c>
      <c r="G97" s="239">
        <f t="shared" si="4"/>
        <v>48</v>
      </c>
      <c r="H97" s="25" t="s">
        <v>641</v>
      </c>
      <c r="I97" s="25" t="s">
        <v>642</v>
      </c>
      <c r="J97" s="25">
        <v>178</v>
      </c>
      <c r="L97" s="239">
        <f t="shared" si="5"/>
        <v>48</v>
      </c>
      <c r="M97" t="s">
        <v>381</v>
      </c>
      <c r="N97" t="s">
        <v>382</v>
      </c>
      <c r="O97">
        <v>181</v>
      </c>
    </row>
    <row r="98" spans="2:15">
      <c r="B98" s="239">
        <f t="shared" si="3"/>
        <v>49</v>
      </c>
      <c r="C98" s="25" t="s">
        <v>383</v>
      </c>
      <c r="D98" s="25" t="s">
        <v>384</v>
      </c>
      <c r="E98" s="25">
        <v>178</v>
      </c>
      <c r="G98" s="239">
        <f t="shared" si="4"/>
        <v>49</v>
      </c>
      <c r="H98" s="25" t="s">
        <v>385</v>
      </c>
      <c r="I98" s="25" t="s">
        <v>386</v>
      </c>
      <c r="J98" s="25">
        <v>179</v>
      </c>
      <c r="L98" s="239">
        <f t="shared" si="5"/>
        <v>49</v>
      </c>
      <c r="M98" t="s">
        <v>387</v>
      </c>
      <c r="N98" t="s">
        <v>388</v>
      </c>
      <c r="O98">
        <v>185</v>
      </c>
    </row>
    <row r="99" spans="2:15">
      <c r="B99" s="239">
        <f t="shared" si="3"/>
        <v>50</v>
      </c>
      <c r="C99" s="26" t="s">
        <v>371</v>
      </c>
      <c r="D99" s="26" t="s">
        <v>372</v>
      </c>
      <c r="E99" s="26">
        <v>180</v>
      </c>
      <c r="G99" s="239">
        <f t="shared" si="4"/>
        <v>50</v>
      </c>
      <c r="H99" s="25" t="s">
        <v>389</v>
      </c>
      <c r="I99" s="25" t="s">
        <v>390</v>
      </c>
      <c r="J99" s="25">
        <v>180</v>
      </c>
      <c r="L99" s="239">
        <f t="shared" si="5"/>
        <v>50</v>
      </c>
      <c r="M99" t="s">
        <v>361</v>
      </c>
      <c r="N99" t="s">
        <v>362</v>
      </c>
      <c r="O99">
        <v>187</v>
      </c>
    </row>
    <row r="100" spans="2:15">
      <c r="B100" s="239">
        <f t="shared" si="3"/>
        <v>51</v>
      </c>
      <c r="C100" s="25" t="s">
        <v>399</v>
      </c>
      <c r="D100" s="25" t="s">
        <v>400</v>
      </c>
      <c r="E100" s="25">
        <v>181</v>
      </c>
      <c r="G100" s="239">
        <f t="shared" si="4"/>
        <v>51</v>
      </c>
      <c r="H100" s="25" t="s">
        <v>373</v>
      </c>
      <c r="I100" s="25" t="s">
        <v>374</v>
      </c>
      <c r="J100" s="25">
        <v>183</v>
      </c>
      <c r="L100" s="239">
        <f t="shared" si="5"/>
        <v>51</v>
      </c>
      <c r="M100" t="s">
        <v>391</v>
      </c>
      <c r="N100" t="s">
        <v>392</v>
      </c>
      <c r="O100">
        <v>190</v>
      </c>
    </row>
    <row r="101" spans="2:15">
      <c r="B101" s="239">
        <f t="shared" si="3"/>
        <v>52</v>
      </c>
      <c r="C101" s="25" t="s">
        <v>365</v>
      </c>
      <c r="D101" s="25" t="s">
        <v>366</v>
      </c>
      <c r="E101" s="25">
        <v>181</v>
      </c>
      <c r="G101" s="239">
        <f t="shared" si="4"/>
        <v>52</v>
      </c>
      <c r="H101" s="25" t="s">
        <v>633</v>
      </c>
      <c r="I101" s="25" t="s">
        <v>634</v>
      </c>
      <c r="J101" s="25">
        <v>187</v>
      </c>
      <c r="L101" s="239">
        <f t="shared" si="5"/>
        <v>52</v>
      </c>
      <c r="M101" t="s">
        <v>395</v>
      </c>
      <c r="N101" t="s">
        <v>396</v>
      </c>
      <c r="O101">
        <v>192</v>
      </c>
    </row>
    <row r="102" spans="2:15">
      <c r="B102" s="239">
        <f t="shared" si="3"/>
        <v>53</v>
      </c>
      <c r="C102" s="25" t="s">
        <v>651</v>
      </c>
      <c r="D102" s="25" t="s">
        <v>652</v>
      </c>
      <c r="E102" s="25">
        <v>181</v>
      </c>
      <c r="G102" s="239">
        <f t="shared" si="4"/>
        <v>53</v>
      </c>
      <c r="H102" s="25" t="s">
        <v>371</v>
      </c>
      <c r="I102" s="25" t="s">
        <v>372</v>
      </c>
      <c r="J102" s="25">
        <v>189</v>
      </c>
      <c r="L102" s="239">
        <f t="shared" si="5"/>
        <v>53</v>
      </c>
      <c r="M102" t="s">
        <v>357</v>
      </c>
      <c r="N102" t="s">
        <v>358</v>
      </c>
      <c r="O102">
        <v>195</v>
      </c>
    </row>
    <row r="103" spans="2:15">
      <c r="B103" s="239">
        <f t="shared" si="3"/>
        <v>54</v>
      </c>
      <c r="C103" s="25" t="s">
        <v>357</v>
      </c>
      <c r="D103" s="25" t="s">
        <v>358</v>
      </c>
      <c r="E103" s="25">
        <v>182</v>
      </c>
      <c r="G103" s="239">
        <f t="shared" si="4"/>
        <v>54</v>
      </c>
      <c r="H103" s="25" t="s">
        <v>397</v>
      </c>
      <c r="I103" s="25" t="s">
        <v>398</v>
      </c>
      <c r="J103" s="25">
        <v>192</v>
      </c>
      <c r="L103" s="239">
        <f t="shared" si="5"/>
        <v>54</v>
      </c>
      <c r="M103" t="s">
        <v>383</v>
      </c>
      <c r="N103" t="s">
        <v>384</v>
      </c>
      <c r="O103">
        <v>196</v>
      </c>
    </row>
    <row r="104" spans="2:15">
      <c r="B104" s="239">
        <f t="shared" si="3"/>
        <v>55</v>
      </c>
      <c r="C104" s="25" t="s">
        <v>663</v>
      </c>
      <c r="D104" s="25" t="s">
        <v>664</v>
      </c>
      <c r="E104" s="25">
        <v>184</v>
      </c>
      <c r="G104" s="239">
        <f t="shared" si="4"/>
        <v>55</v>
      </c>
      <c r="H104" s="25" t="s">
        <v>399</v>
      </c>
      <c r="I104" s="25" t="s">
        <v>400</v>
      </c>
      <c r="J104" s="25">
        <v>193</v>
      </c>
      <c r="L104" s="239">
        <f t="shared" si="5"/>
        <v>55</v>
      </c>
      <c r="M104" t="s">
        <v>375</v>
      </c>
      <c r="N104" t="s">
        <v>376</v>
      </c>
      <c r="O104">
        <v>197</v>
      </c>
    </row>
    <row r="105" spans="2:15">
      <c r="B105" s="239">
        <f t="shared" si="3"/>
        <v>56</v>
      </c>
      <c r="C105" s="25" t="s">
        <v>393</v>
      </c>
      <c r="D105" s="25" t="s">
        <v>394</v>
      </c>
      <c r="E105" s="25">
        <v>184</v>
      </c>
      <c r="G105" s="239">
        <f t="shared" si="4"/>
        <v>56</v>
      </c>
      <c r="H105" s="25" t="s">
        <v>653</v>
      </c>
      <c r="I105" s="25" t="s">
        <v>654</v>
      </c>
      <c r="J105" s="25">
        <v>195</v>
      </c>
      <c r="L105" s="239">
        <f t="shared" si="5"/>
        <v>56</v>
      </c>
      <c r="M105" t="s">
        <v>401</v>
      </c>
      <c r="N105" t="s">
        <v>402</v>
      </c>
      <c r="O105">
        <v>197</v>
      </c>
    </row>
    <row r="106" spans="2:15">
      <c r="B106" s="239">
        <f t="shared" si="3"/>
        <v>57</v>
      </c>
      <c r="C106" s="25" t="s">
        <v>379</v>
      </c>
      <c r="D106" s="25" t="s">
        <v>380</v>
      </c>
      <c r="E106" s="25">
        <v>185</v>
      </c>
      <c r="G106" s="239">
        <f t="shared" si="4"/>
        <v>57</v>
      </c>
      <c r="H106" s="25" t="s">
        <v>663</v>
      </c>
      <c r="I106" s="25" t="s">
        <v>664</v>
      </c>
      <c r="J106" s="25">
        <v>197</v>
      </c>
      <c r="L106" s="239">
        <f t="shared" si="5"/>
        <v>57</v>
      </c>
      <c r="M106" t="s">
        <v>403</v>
      </c>
      <c r="N106" t="s">
        <v>404</v>
      </c>
      <c r="O106">
        <v>200</v>
      </c>
    </row>
    <row r="107" spans="2:15">
      <c r="B107" s="239">
        <f t="shared" si="3"/>
        <v>58</v>
      </c>
      <c r="C107" s="25" t="s">
        <v>471</v>
      </c>
      <c r="D107" s="25" t="s">
        <v>472</v>
      </c>
      <c r="E107" s="25">
        <v>186</v>
      </c>
      <c r="G107" s="239">
        <f t="shared" si="4"/>
        <v>58</v>
      </c>
      <c r="H107" s="25" t="s">
        <v>393</v>
      </c>
      <c r="I107" s="25" t="s">
        <v>394</v>
      </c>
      <c r="J107" s="25">
        <v>200</v>
      </c>
      <c r="L107" s="239">
        <f t="shared" si="5"/>
        <v>58</v>
      </c>
      <c r="M107" t="s">
        <v>405</v>
      </c>
      <c r="N107" t="s">
        <v>406</v>
      </c>
      <c r="O107">
        <v>201</v>
      </c>
    </row>
    <row r="108" spans="2:15">
      <c r="B108" s="239">
        <f t="shared" si="3"/>
        <v>59</v>
      </c>
      <c r="C108" s="25" t="s">
        <v>641</v>
      </c>
      <c r="D108" s="25" t="s">
        <v>642</v>
      </c>
      <c r="E108" s="25">
        <v>189</v>
      </c>
      <c r="G108" s="239">
        <f t="shared" si="4"/>
        <v>59</v>
      </c>
      <c r="H108" s="25" t="s">
        <v>407</v>
      </c>
      <c r="I108" s="25" t="s">
        <v>408</v>
      </c>
      <c r="J108" s="25">
        <v>203</v>
      </c>
      <c r="L108" s="239">
        <f t="shared" si="5"/>
        <v>59</v>
      </c>
      <c r="M108" t="s">
        <v>399</v>
      </c>
      <c r="N108" t="s">
        <v>400</v>
      </c>
      <c r="O108">
        <v>202</v>
      </c>
    </row>
    <row r="109" spans="2:15">
      <c r="B109" s="239">
        <f t="shared" si="3"/>
        <v>60</v>
      </c>
      <c r="C109" s="25" t="s">
        <v>375</v>
      </c>
      <c r="D109" s="25" t="s">
        <v>376</v>
      </c>
      <c r="E109" s="25">
        <v>192</v>
      </c>
      <c r="G109" s="239">
        <f t="shared" si="4"/>
        <v>60</v>
      </c>
      <c r="H109" s="25" t="s">
        <v>409</v>
      </c>
      <c r="I109" s="25" t="s">
        <v>410</v>
      </c>
      <c r="J109" s="25">
        <v>206</v>
      </c>
      <c r="L109" s="239">
        <f t="shared" si="5"/>
        <v>60</v>
      </c>
      <c r="M109" t="s">
        <v>659</v>
      </c>
      <c r="N109" t="s">
        <v>660</v>
      </c>
      <c r="O109">
        <v>202</v>
      </c>
    </row>
    <row r="110" spans="2:15">
      <c r="B110" s="239">
        <f t="shared" si="3"/>
        <v>61</v>
      </c>
      <c r="C110" s="25" t="s">
        <v>395</v>
      </c>
      <c r="D110" s="25" t="s">
        <v>396</v>
      </c>
      <c r="E110" s="25">
        <v>199</v>
      </c>
      <c r="G110" s="239">
        <f t="shared" si="4"/>
        <v>61</v>
      </c>
      <c r="H110" s="25" t="s">
        <v>413</v>
      </c>
      <c r="I110" s="25" t="s">
        <v>414</v>
      </c>
      <c r="J110" s="25">
        <v>206</v>
      </c>
      <c r="L110" s="239">
        <f t="shared" si="5"/>
        <v>61</v>
      </c>
      <c r="M110" t="s">
        <v>413</v>
      </c>
      <c r="N110" t="s">
        <v>414</v>
      </c>
      <c r="O110">
        <v>202</v>
      </c>
    </row>
    <row r="111" spans="2:15">
      <c r="B111" s="239">
        <f t="shared" si="3"/>
        <v>62</v>
      </c>
      <c r="C111" s="25" t="s">
        <v>397</v>
      </c>
      <c r="D111" s="25" t="s">
        <v>398</v>
      </c>
      <c r="E111" s="25">
        <v>202</v>
      </c>
      <c r="G111" s="239">
        <f t="shared" si="4"/>
        <v>62</v>
      </c>
      <c r="H111" s="25" t="s">
        <v>415</v>
      </c>
      <c r="I111" s="25" t="s">
        <v>416</v>
      </c>
      <c r="J111" s="25">
        <v>206</v>
      </c>
      <c r="L111" s="239">
        <f t="shared" si="5"/>
        <v>62</v>
      </c>
      <c r="M111" t="s">
        <v>417</v>
      </c>
      <c r="N111" t="s">
        <v>418</v>
      </c>
      <c r="O111">
        <v>202</v>
      </c>
    </row>
    <row r="112" spans="2:15">
      <c r="B112" s="239">
        <f t="shared" si="3"/>
        <v>63</v>
      </c>
      <c r="C112" s="25" t="s">
        <v>407</v>
      </c>
      <c r="D112" s="25" t="s">
        <v>408</v>
      </c>
      <c r="E112" s="25">
        <v>203</v>
      </c>
      <c r="G112" s="239">
        <f t="shared" si="4"/>
        <v>63</v>
      </c>
      <c r="H112" s="25" t="s">
        <v>379</v>
      </c>
      <c r="I112" s="25" t="s">
        <v>380</v>
      </c>
      <c r="J112" s="25">
        <v>208</v>
      </c>
      <c r="L112" s="239">
        <f t="shared" si="5"/>
        <v>63</v>
      </c>
      <c r="M112" t="s">
        <v>647</v>
      </c>
      <c r="N112" t="s">
        <v>648</v>
      </c>
      <c r="O112">
        <v>207</v>
      </c>
    </row>
    <row r="113" spans="2:15">
      <c r="B113" s="239">
        <f t="shared" si="3"/>
        <v>64</v>
      </c>
      <c r="C113" s="25" t="s">
        <v>387</v>
      </c>
      <c r="D113" s="25" t="s">
        <v>388</v>
      </c>
      <c r="E113" s="25">
        <v>204</v>
      </c>
      <c r="G113" s="239">
        <f t="shared" si="4"/>
        <v>64</v>
      </c>
      <c r="H113" s="25" t="s">
        <v>419</v>
      </c>
      <c r="I113" s="25" t="s">
        <v>420</v>
      </c>
      <c r="J113" s="25">
        <v>209</v>
      </c>
      <c r="L113" s="239">
        <f t="shared" si="5"/>
        <v>64</v>
      </c>
      <c r="M113" t="s">
        <v>389</v>
      </c>
      <c r="N113" t="s">
        <v>390</v>
      </c>
      <c r="O113">
        <v>213</v>
      </c>
    </row>
    <row r="114" spans="2:15">
      <c r="B114" s="239">
        <f t="shared" si="3"/>
        <v>65</v>
      </c>
      <c r="C114" s="25" t="s">
        <v>415</v>
      </c>
      <c r="D114" s="25" t="s">
        <v>416</v>
      </c>
      <c r="E114" s="25">
        <v>204</v>
      </c>
      <c r="G114" s="239">
        <f t="shared" si="4"/>
        <v>65</v>
      </c>
      <c r="H114" s="25" t="s">
        <v>421</v>
      </c>
      <c r="I114" s="25" t="s">
        <v>422</v>
      </c>
      <c r="J114" s="25">
        <v>210</v>
      </c>
      <c r="L114" s="239">
        <f t="shared" si="5"/>
        <v>65</v>
      </c>
      <c r="M114" t="s">
        <v>423</v>
      </c>
      <c r="N114" t="s">
        <v>424</v>
      </c>
      <c r="O114">
        <v>216</v>
      </c>
    </row>
    <row r="115" spans="2:15">
      <c r="B115" s="239">
        <f t="shared" si="3"/>
        <v>66</v>
      </c>
      <c r="C115" s="25" t="s">
        <v>411</v>
      </c>
      <c r="D115" s="25" t="s">
        <v>412</v>
      </c>
      <c r="E115" s="25">
        <v>205</v>
      </c>
      <c r="G115" s="239">
        <f t="shared" si="4"/>
        <v>66</v>
      </c>
      <c r="H115" s="25" t="s">
        <v>425</v>
      </c>
      <c r="I115" s="25" t="s">
        <v>426</v>
      </c>
      <c r="J115" s="25">
        <v>212</v>
      </c>
      <c r="L115" s="239">
        <f t="shared" si="5"/>
        <v>66</v>
      </c>
      <c r="M115" t="s">
        <v>427</v>
      </c>
      <c r="N115" t="s">
        <v>428</v>
      </c>
      <c r="O115">
        <v>217</v>
      </c>
    </row>
    <row r="116" spans="2:15">
      <c r="B116" s="239">
        <f t="shared" ref="B116:B179" si="6">B115+1</f>
        <v>67</v>
      </c>
      <c r="C116" s="25" t="s">
        <v>431</v>
      </c>
      <c r="D116" s="25" t="s">
        <v>432</v>
      </c>
      <c r="E116" s="25">
        <v>205</v>
      </c>
      <c r="G116" s="239">
        <f t="shared" ref="G116:G179" si="7">G115+1</f>
        <v>67</v>
      </c>
      <c r="H116" s="25" t="s">
        <v>429</v>
      </c>
      <c r="I116" s="25" t="s">
        <v>430</v>
      </c>
      <c r="J116" s="25">
        <v>216</v>
      </c>
      <c r="L116" s="239">
        <f t="shared" ref="L116:L179" si="8">L115+1</f>
        <v>67</v>
      </c>
      <c r="M116" t="s">
        <v>393</v>
      </c>
      <c r="N116" t="s">
        <v>394</v>
      </c>
      <c r="O116">
        <v>217</v>
      </c>
    </row>
    <row r="117" spans="2:15">
      <c r="B117" s="239">
        <f t="shared" si="6"/>
        <v>68</v>
      </c>
      <c r="C117" s="25" t="s">
        <v>401</v>
      </c>
      <c r="D117" s="25" t="s">
        <v>402</v>
      </c>
      <c r="E117" s="25">
        <v>210</v>
      </c>
      <c r="G117" s="239">
        <f t="shared" si="7"/>
        <v>68</v>
      </c>
      <c r="H117" s="25" t="s">
        <v>401</v>
      </c>
      <c r="I117" s="25" t="s">
        <v>402</v>
      </c>
      <c r="J117" s="25">
        <v>217</v>
      </c>
      <c r="L117" s="239">
        <f t="shared" si="8"/>
        <v>68</v>
      </c>
      <c r="M117" t="s">
        <v>411</v>
      </c>
      <c r="N117" t="s">
        <v>412</v>
      </c>
      <c r="O117">
        <v>221</v>
      </c>
    </row>
    <row r="118" spans="2:15">
      <c r="B118" s="239">
        <f t="shared" si="6"/>
        <v>69</v>
      </c>
      <c r="C118" s="25" t="s">
        <v>363</v>
      </c>
      <c r="D118" s="25" t="s">
        <v>364</v>
      </c>
      <c r="E118" s="25">
        <v>211</v>
      </c>
      <c r="G118" s="239">
        <f t="shared" si="7"/>
        <v>69</v>
      </c>
      <c r="H118" s="25" t="s">
        <v>661</v>
      </c>
      <c r="I118" s="25" t="s">
        <v>662</v>
      </c>
      <c r="J118" s="25">
        <v>218</v>
      </c>
      <c r="L118" s="239">
        <f t="shared" si="8"/>
        <v>69</v>
      </c>
      <c r="M118" t="s">
        <v>433</v>
      </c>
      <c r="N118" t="s">
        <v>434</v>
      </c>
      <c r="O118">
        <v>221</v>
      </c>
    </row>
    <row r="119" spans="2:15">
      <c r="B119" s="239">
        <f t="shared" si="6"/>
        <v>70</v>
      </c>
      <c r="C119" s="25" t="s">
        <v>361</v>
      </c>
      <c r="D119" s="25" t="s">
        <v>362</v>
      </c>
      <c r="E119" s="25">
        <v>212</v>
      </c>
      <c r="G119" s="239">
        <f t="shared" si="7"/>
        <v>70</v>
      </c>
      <c r="H119" s="25" t="s">
        <v>435</v>
      </c>
      <c r="I119" s="25" t="s">
        <v>436</v>
      </c>
      <c r="J119" s="25">
        <v>218</v>
      </c>
      <c r="L119" s="239">
        <f t="shared" si="8"/>
        <v>70</v>
      </c>
      <c r="M119" t="s">
        <v>437</v>
      </c>
      <c r="N119" t="s">
        <v>438</v>
      </c>
      <c r="O119">
        <v>222</v>
      </c>
    </row>
    <row r="120" spans="2:15">
      <c r="B120" s="239">
        <f t="shared" si="6"/>
        <v>71</v>
      </c>
      <c r="C120" s="25" t="s">
        <v>455</v>
      </c>
      <c r="D120" s="25" t="s">
        <v>456</v>
      </c>
      <c r="E120" s="25">
        <v>213</v>
      </c>
      <c r="G120" s="239">
        <f t="shared" si="7"/>
        <v>71</v>
      </c>
      <c r="H120" s="25" t="s">
        <v>439</v>
      </c>
      <c r="I120" s="25" t="s">
        <v>440</v>
      </c>
      <c r="J120" s="25">
        <v>220</v>
      </c>
      <c r="L120" s="239">
        <f t="shared" si="8"/>
        <v>71</v>
      </c>
      <c r="M120" t="s">
        <v>441</v>
      </c>
      <c r="N120" t="s">
        <v>442</v>
      </c>
      <c r="O120">
        <v>223</v>
      </c>
    </row>
    <row r="121" spans="2:15">
      <c r="B121" s="239">
        <f t="shared" si="6"/>
        <v>72</v>
      </c>
      <c r="C121" s="26" t="s">
        <v>405</v>
      </c>
      <c r="D121" s="26" t="s">
        <v>406</v>
      </c>
      <c r="E121" s="26">
        <v>215</v>
      </c>
      <c r="G121" s="239">
        <f t="shared" si="7"/>
        <v>72</v>
      </c>
      <c r="H121" s="25" t="s">
        <v>443</v>
      </c>
      <c r="I121" s="25" t="s">
        <v>444</v>
      </c>
      <c r="J121" s="25">
        <v>222</v>
      </c>
      <c r="L121" s="239">
        <f t="shared" si="8"/>
        <v>72</v>
      </c>
      <c r="M121" t="s">
        <v>643</v>
      </c>
      <c r="N121" t="s">
        <v>644</v>
      </c>
      <c r="O121">
        <v>225</v>
      </c>
    </row>
    <row r="122" spans="2:15">
      <c r="B122" s="239">
        <f t="shared" si="6"/>
        <v>73</v>
      </c>
      <c r="C122" s="25" t="s">
        <v>441</v>
      </c>
      <c r="D122" s="25" t="s">
        <v>442</v>
      </c>
      <c r="E122" s="25">
        <v>219</v>
      </c>
      <c r="G122" s="239">
        <f t="shared" si="7"/>
        <v>73</v>
      </c>
      <c r="H122" s="25" t="s">
        <v>445</v>
      </c>
      <c r="I122" s="25" t="s">
        <v>446</v>
      </c>
      <c r="J122" s="25">
        <v>222</v>
      </c>
      <c r="L122" s="239">
        <f t="shared" si="8"/>
        <v>73</v>
      </c>
      <c r="M122" t="s">
        <v>447</v>
      </c>
      <c r="N122" t="s">
        <v>448</v>
      </c>
      <c r="O122">
        <v>226</v>
      </c>
    </row>
    <row r="123" spans="2:15">
      <c r="B123" s="239">
        <f t="shared" si="6"/>
        <v>74</v>
      </c>
      <c r="C123" s="25" t="s">
        <v>355</v>
      </c>
      <c r="D123" s="25" t="s">
        <v>356</v>
      </c>
      <c r="E123" s="25">
        <v>220</v>
      </c>
      <c r="G123" s="239">
        <f t="shared" si="7"/>
        <v>74</v>
      </c>
      <c r="H123" s="25" t="s">
        <v>387</v>
      </c>
      <c r="I123" s="25" t="s">
        <v>388</v>
      </c>
      <c r="J123" s="25">
        <v>224</v>
      </c>
      <c r="L123" s="239">
        <f t="shared" si="8"/>
        <v>74</v>
      </c>
      <c r="M123" t="s">
        <v>397</v>
      </c>
      <c r="N123" t="s">
        <v>398</v>
      </c>
      <c r="O123">
        <v>230</v>
      </c>
    </row>
    <row r="124" spans="2:15">
      <c r="B124" s="239">
        <f t="shared" si="6"/>
        <v>75</v>
      </c>
      <c r="C124" s="25" t="s">
        <v>391</v>
      </c>
      <c r="D124" s="25" t="s">
        <v>392</v>
      </c>
      <c r="E124" s="25">
        <v>221</v>
      </c>
      <c r="G124" s="239">
        <f t="shared" si="7"/>
        <v>75</v>
      </c>
      <c r="H124" s="25" t="s">
        <v>377</v>
      </c>
      <c r="I124" s="25" t="s">
        <v>378</v>
      </c>
      <c r="J124" s="25">
        <v>225</v>
      </c>
      <c r="L124" s="239">
        <f t="shared" si="8"/>
        <v>75</v>
      </c>
      <c r="M124" t="s">
        <v>451</v>
      </c>
      <c r="N124" t="s">
        <v>452</v>
      </c>
      <c r="O124">
        <v>231</v>
      </c>
    </row>
    <row r="125" spans="2:15">
      <c r="B125" s="239">
        <f t="shared" si="6"/>
        <v>76</v>
      </c>
      <c r="C125" s="25" t="s">
        <v>433</v>
      </c>
      <c r="D125" s="25" t="s">
        <v>434</v>
      </c>
      <c r="E125" s="25">
        <v>222</v>
      </c>
      <c r="G125" s="239">
        <f t="shared" si="7"/>
        <v>76</v>
      </c>
      <c r="H125" s="25" t="s">
        <v>363</v>
      </c>
      <c r="I125" s="25" t="s">
        <v>364</v>
      </c>
      <c r="J125" s="25">
        <v>226</v>
      </c>
      <c r="L125" s="239">
        <f t="shared" si="8"/>
        <v>76</v>
      </c>
      <c r="M125" t="s">
        <v>631</v>
      </c>
      <c r="N125" t="s">
        <v>632</v>
      </c>
      <c r="O125">
        <v>231</v>
      </c>
    </row>
    <row r="126" spans="2:15">
      <c r="B126" s="239">
        <f t="shared" si="6"/>
        <v>77</v>
      </c>
      <c r="C126" s="25" t="s">
        <v>457</v>
      </c>
      <c r="D126" s="25" t="s">
        <v>458</v>
      </c>
      <c r="E126" s="25">
        <v>228</v>
      </c>
      <c r="G126" s="239">
        <f t="shared" si="7"/>
        <v>77</v>
      </c>
      <c r="H126" s="25" t="s">
        <v>369</v>
      </c>
      <c r="I126" s="25" t="s">
        <v>370</v>
      </c>
      <c r="J126" s="25">
        <v>226</v>
      </c>
      <c r="L126" s="239">
        <f t="shared" si="8"/>
        <v>77</v>
      </c>
      <c r="M126" t="s">
        <v>443</v>
      </c>
      <c r="N126" t="s">
        <v>444</v>
      </c>
      <c r="O126">
        <v>232</v>
      </c>
    </row>
    <row r="127" spans="2:15">
      <c r="B127" s="239">
        <f t="shared" si="6"/>
        <v>78</v>
      </c>
      <c r="C127" s="25" t="s">
        <v>427</v>
      </c>
      <c r="D127" s="25" t="s">
        <v>428</v>
      </c>
      <c r="E127" s="25">
        <v>229</v>
      </c>
      <c r="G127" s="239">
        <f t="shared" si="7"/>
        <v>78</v>
      </c>
      <c r="H127" s="25" t="s">
        <v>405</v>
      </c>
      <c r="I127" s="25" t="s">
        <v>406</v>
      </c>
      <c r="J127" s="25">
        <v>230</v>
      </c>
      <c r="L127" s="239">
        <f t="shared" si="8"/>
        <v>78</v>
      </c>
      <c r="M127" t="s">
        <v>613</v>
      </c>
      <c r="N127" t="s">
        <v>614</v>
      </c>
      <c r="O127">
        <v>235</v>
      </c>
    </row>
    <row r="128" spans="2:15">
      <c r="B128" s="239">
        <f t="shared" si="6"/>
        <v>79</v>
      </c>
      <c r="C128" s="25" t="s">
        <v>443</v>
      </c>
      <c r="D128" s="25" t="s">
        <v>444</v>
      </c>
      <c r="E128" s="25">
        <v>233</v>
      </c>
      <c r="G128" s="239">
        <f t="shared" si="7"/>
        <v>79</v>
      </c>
      <c r="H128" s="25" t="s">
        <v>431</v>
      </c>
      <c r="I128" s="25" t="s">
        <v>432</v>
      </c>
      <c r="J128" s="25">
        <v>230</v>
      </c>
      <c r="L128" s="239">
        <f t="shared" si="8"/>
        <v>79</v>
      </c>
      <c r="M128" t="s">
        <v>429</v>
      </c>
      <c r="N128" t="s">
        <v>430</v>
      </c>
      <c r="O128">
        <v>237</v>
      </c>
    </row>
    <row r="129" spans="2:15">
      <c r="B129" s="239">
        <f t="shared" si="6"/>
        <v>80</v>
      </c>
      <c r="C129" s="25" t="s">
        <v>445</v>
      </c>
      <c r="D129" s="25" t="s">
        <v>446</v>
      </c>
      <c r="E129" s="25">
        <v>236</v>
      </c>
      <c r="G129" s="239">
        <f t="shared" si="7"/>
        <v>80</v>
      </c>
      <c r="H129" s="25" t="s">
        <v>433</v>
      </c>
      <c r="I129" s="25" t="s">
        <v>434</v>
      </c>
      <c r="J129" s="25">
        <v>231</v>
      </c>
      <c r="L129" s="239">
        <f t="shared" si="8"/>
        <v>80</v>
      </c>
      <c r="M129" t="s">
        <v>457</v>
      </c>
      <c r="N129" t="s">
        <v>458</v>
      </c>
      <c r="O129">
        <v>237</v>
      </c>
    </row>
    <row r="130" spans="2:15">
      <c r="B130" s="239">
        <f t="shared" si="6"/>
        <v>81</v>
      </c>
      <c r="C130" s="25" t="s">
        <v>425</v>
      </c>
      <c r="D130" s="25" t="s">
        <v>426</v>
      </c>
      <c r="E130" s="25">
        <v>236</v>
      </c>
      <c r="G130" s="239">
        <f t="shared" si="7"/>
        <v>81</v>
      </c>
      <c r="H130" s="25" t="s">
        <v>361</v>
      </c>
      <c r="I130" s="25" t="s">
        <v>362</v>
      </c>
      <c r="J130" s="25">
        <v>233</v>
      </c>
      <c r="L130" s="239">
        <f t="shared" si="8"/>
        <v>81</v>
      </c>
      <c r="M130" s="25" t="s">
        <v>419</v>
      </c>
      <c r="N130" s="25" t="s">
        <v>420</v>
      </c>
      <c r="O130" s="25">
        <v>239</v>
      </c>
    </row>
    <row r="131" spans="2:15">
      <c r="B131" s="239">
        <f t="shared" si="6"/>
        <v>82</v>
      </c>
      <c r="C131" s="25" t="s">
        <v>409</v>
      </c>
      <c r="D131" s="25" t="s">
        <v>410</v>
      </c>
      <c r="E131" s="25">
        <v>242</v>
      </c>
      <c r="G131" s="239">
        <f t="shared" si="7"/>
        <v>82</v>
      </c>
      <c r="H131" s="25" t="s">
        <v>459</v>
      </c>
      <c r="I131" s="25" t="s">
        <v>460</v>
      </c>
      <c r="J131" s="25">
        <v>234</v>
      </c>
      <c r="L131" s="239">
        <f t="shared" si="8"/>
        <v>82</v>
      </c>
      <c r="M131" t="s">
        <v>461</v>
      </c>
      <c r="N131" t="s">
        <v>462</v>
      </c>
      <c r="O131">
        <v>241</v>
      </c>
    </row>
    <row r="132" spans="2:15">
      <c r="B132" s="239">
        <f t="shared" si="6"/>
        <v>83</v>
      </c>
      <c r="C132" s="25" t="s">
        <v>437</v>
      </c>
      <c r="D132" s="25" t="s">
        <v>438</v>
      </c>
      <c r="E132" s="25">
        <v>242</v>
      </c>
      <c r="G132" s="239">
        <f t="shared" si="7"/>
        <v>83</v>
      </c>
      <c r="H132" s="25" t="s">
        <v>463</v>
      </c>
      <c r="I132" s="25" t="s">
        <v>464</v>
      </c>
      <c r="J132" s="25">
        <v>235</v>
      </c>
      <c r="L132" s="239">
        <f t="shared" si="8"/>
        <v>83</v>
      </c>
      <c r="M132" t="s">
        <v>415</v>
      </c>
      <c r="N132" t="s">
        <v>416</v>
      </c>
      <c r="O132">
        <v>241</v>
      </c>
    </row>
    <row r="133" spans="2:15">
      <c r="B133" s="239">
        <f t="shared" si="6"/>
        <v>84</v>
      </c>
      <c r="C133" s="25" t="s">
        <v>459</v>
      </c>
      <c r="D133" s="25" t="s">
        <v>460</v>
      </c>
      <c r="E133" s="25">
        <v>242</v>
      </c>
      <c r="G133" s="239">
        <f t="shared" si="7"/>
        <v>84</v>
      </c>
      <c r="H133" s="25" t="s">
        <v>417</v>
      </c>
      <c r="I133" s="25" t="s">
        <v>418</v>
      </c>
      <c r="J133" s="25">
        <v>235</v>
      </c>
      <c r="L133" s="239">
        <f t="shared" si="8"/>
        <v>84</v>
      </c>
      <c r="M133" t="s">
        <v>425</v>
      </c>
      <c r="N133" t="s">
        <v>426</v>
      </c>
      <c r="O133">
        <v>242</v>
      </c>
    </row>
    <row r="134" spans="2:15">
      <c r="B134" s="239">
        <f t="shared" si="6"/>
        <v>85</v>
      </c>
      <c r="C134" s="25" t="s">
        <v>467</v>
      </c>
      <c r="D134" s="25" t="s">
        <v>468</v>
      </c>
      <c r="E134" s="25">
        <v>243</v>
      </c>
      <c r="G134" s="239">
        <f t="shared" si="7"/>
        <v>85</v>
      </c>
      <c r="H134" s="25" t="s">
        <v>465</v>
      </c>
      <c r="I134" s="25" t="s">
        <v>466</v>
      </c>
      <c r="J134" s="25">
        <v>235</v>
      </c>
      <c r="L134" s="239">
        <f t="shared" si="8"/>
        <v>85</v>
      </c>
      <c r="M134" s="27" t="s">
        <v>379</v>
      </c>
      <c r="N134" s="27" t="s">
        <v>380</v>
      </c>
      <c r="O134" s="27">
        <v>246</v>
      </c>
    </row>
    <row r="135" spans="2:15">
      <c r="B135" s="239">
        <f t="shared" si="6"/>
        <v>86</v>
      </c>
      <c r="C135" s="25" t="s">
        <v>419</v>
      </c>
      <c r="D135" s="25" t="s">
        <v>420</v>
      </c>
      <c r="E135" s="25">
        <v>243</v>
      </c>
      <c r="G135" s="239">
        <f t="shared" si="7"/>
        <v>86</v>
      </c>
      <c r="H135" s="25" t="s">
        <v>383</v>
      </c>
      <c r="I135" s="25" t="s">
        <v>384</v>
      </c>
      <c r="J135" s="25">
        <v>237</v>
      </c>
      <c r="L135" s="239">
        <f t="shared" si="8"/>
        <v>86</v>
      </c>
      <c r="M135" t="s">
        <v>449</v>
      </c>
      <c r="N135" t="s">
        <v>450</v>
      </c>
      <c r="O135">
        <v>250</v>
      </c>
    </row>
    <row r="136" spans="2:15">
      <c r="B136" s="239">
        <f t="shared" si="6"/>
        <v>87</v>
      </c>
      <c r="C136" s="25" t="s">
        <v>381</v>
      </c>
      <c r="D136" s="25" t="s">
        <v>382</v>
      </c>
      <c r="E136" s="25">
        <v>244</v>
      </c>
      <c r="G136" s="239">
        <f t="shared" si="7"/>
        <v>87</v>
      </c>
      <c r="H136" s="25" t="s">
        <v>467</v>
      </c>
      <c r="I136" s="25" t="s">
        <v>468</v>
      </c>
      <c r="J136" s="25">
        <v>239</v>
      </c>
      <c r="L136" s="239">
        <f t="shared" si="8"/>
        <v>87</v>
      </c>
      <c r="M136" t="s">
        <v>385</v>
      </c>
      <c r="N136" t="s">
        <v>386</v>
      </c>
      <c r="O136">
        <v>250</v>
      </c>
    </row>
    <row r="137" spans="2:15">
      <c r="B137" s="239">
        <f t="shared" si="6"/>
        <v>88</v>
      </c>
      <c r="C137" s="25" t="s">
        <v>429</v>
      </c>
      <c r="D137" s="25" t="s">
        <v>430</v>
      </c>
      <c r="E137" s="25">
        <v>244</v>
      </c>
      <c r="G137" s="239">
        <f t="shared" si="7"/>
        <v>88</v>
      </c>
      <c r="H137" s="25" t="s">
        <v>411</v>
      </c>
      <c r="I137" s="25" t="s">
        <v>412</v>
      </c>
      <c r="J137" s="25">
        <v>240</v>
      </c>
      <c r="L137" s="239">
        <f t="shared" si="8"/>
        <v>88</v>
      </c>
      <c r="M137" s="2" t="s">
        <v>469</v>
      </c>
      <c r="N137" s="2" t="s">
        <v>470</v>
      </c>
      <c r="O137" s="2">
        <v>253</v>
      </c>
    </row>
    <row r="138" spans="2:15">
      <c r="B138" s="239">
        <f t="shared" si="6"/>
        <v>89</v>
      </c>
      <c r="C138" s="28" t="s">
        <v>385</v>
      </c>
      <c r="D138" s="28" t="s">
        <v>386</v>
      </c>
      <c r="E138" s="28">
        <v>245</v>
      </c>
      <c r="G138" s="239">
        <f t="shared" si="7"/>
        <v>89</v>
      </c>
      <c r="H138" s="25" t="s">
        <v>473</v>
      </c>
      <c r="I138" s="25" t="s">
        <v>474</v>
      </c>
      <c r="J138" s="25">
        <v>244</v>
      </c>
      <c r="L138" s="239">
        <f t="shared" si="8"/>
        <v>89</v>
      </c>
      <c r="M138" t="s">
        <v>409</v>
      </c>
      <c r="N138" t="s">
        <v>410</v>
      </c>
      <c r="O138">
        <v>256</v>
      </c>
    </row>
    <row r="139" spans="2:15">
      <c r="B139" s="239">
        <f t="shared" si="6"/>
        <v>90</v>
      </c>
      <c r="C139" s="28" t="s">
        <v>413</v>
      </c>
      <c r="D139" s="28" t="s">
        <v>414</v>
      </c>
      <c r="E139" s="28">
        <v>247</v>
      </c>
      <c r="G139" s="239">
        <f t="shared" si="7"/>
        <v>90</v>
      </c>
      <c r="H139" s="25" t="s">
        <v>395</v>
      </c>
      <c r="I139" s="25" t="s">
        <v>396</v>
      </c>
      <c r="J139" s="25">
        <v>246</v>
      </c>
      <c r="L139" s="239">
        <f t="shared" si="8"/>
        <v>90</v>
      </c>
      <c r="M139" t="s">
        <v>475</v>
      </c>
      <c r="N139" t="s">
        <v>476</v>
      </c>
      <c r="O139">
        <v>257</v>
      </c>
    </row>
    <row r="140" spans="2:15">
      <c r="B140" s="239">
        <f t="shared" si="6"/>
        <v>91</v>
      </c>
      <c r="C140" s="25" t="s">
        <v>475</v>
      </c>
      <c r="D140" s="25" t="s">
        <v>476</v>
      </c>
      <c r="E140" s="25">
        <v>248</v>
      </c>
      <c r="G140" s="239">
        <f t="shared" si="7"/>
        <v>91</v>
      </c>
      <c r="H140" s="25" t="s">
        <v>477</v>
      </c>
      <c r="I140" s="25" t="s">
        <v>478</v>
      </c>
      <c r="J140" s="25">
        <v>248</v>
      </c>
      <c r="L140" s="239">
        <f t="shared" si="8"/>
        <v>91</v>
      </c>
      <c r="M140" t="s">
        <v>479</v>
      </c>
      <c r="N140" t="s">
        <v>480</v>
      </c>
      <c r="O140">
        <v>259</v>
      </c>
    </row>
    <row r="141" spans="2:15">
      <c r="B141" s="239">
        <f t="shared" si="6"/>
        <v>92</v>
      </c>
      <c r="C141" s="25" t="s">
        <v>423</v>
      </c>
      <c r="D141" s="25" t="s">
        <v>424</v>
      </c>
      <c r="E141" s="25">
        <v>254</v>
      </c>
      <c r="G141" s="239">
        <f t="shared" si="7"/>
        <v>92</v>
      </c>
      <c r="H141" s="25" t="s">
        <v>381</v>
      </c>
      <c r="I141" s="25" t="s">
        <v>382</v>
      </c>
      <c r="J141" s="25">
        <v>251</v>
      </c>
      <c r="L141" s="239">
        <f t="shared" si="8"/>
        <v>92</v>
      </c>
      <c r="M141" t="s">
        <v>439</v>
      </c>
      <c r="N141" t="s">
        <v>440</v>
      </c>
      <c r="O141">
        <v>259</v>
      </c>
    </row>
    <row r="142" spans="2:15">
      <c r="B142" s="239">
        <f t="shared" si="6"/>
        <v>93</v>
      </c>
      <c r="C142" s="25" t="s">
        <v>439</v>
      </c>
      <c r="D142" s="25" t="s">
        <v>440</v>
      </c>
      <c r="E142" s="25">
        <v>255</v>
      </c>
      <c r="G142" s="239">
        <f t="shared" si="7"/>
        <v>93</v>
      </c>
      <c r="H142" s="27" t="s">
        <v>437</v>
      </c>
      <c r="I142" s="27" t="s">
        <v>438</v>
      </c>
      <c r="J142" s="27">
        <v>252</v>
      </c>
      <c r="L142" s="239">
        <f t="shared" si="8"/>
        <v>93</v>
      </c>
      <c r="M142" t="s">
        <v>431</v>
      </c>
      <c r="N142" t="s">
        <v>432</v>
      </c>
      <c r="O142">
        <v>261</v>
      </c>
    </row>
    <row r="143" spans="2:15">
      <c r="B143" s="239">
        <f t="shared" si="6"/>
        <v>94</v>
      </c>
      <c r="C143" s="25" t="s">
        <v>449</v>
      </c>
      <c r="D143" s="25" t="s">
        <v>450</v>
      </c>
      <c r="E143" s="25">
        <v>256</v>
      </c>
      <c r="G143" s="239">
        <f t="shared" si="7"/>
        <v>94</v>
      </c>
      <c r="H143" s="25" t="s">
        <v>475</v>
      </c>
      <c r="I143" s="25" t="s">
        <v>476</v>
      </c>
      <c r="J143" s="25">
        <v>256</v>
      </c>
      <c r="L143" s="239">
        <f t="shared" si="8"/>
        <v>94</v>
      </c>
      <c r="M143" t="s">
        <v>483</v>
      </c>
      <c r="N143" t="s">
        <v>484</v>
      </c>
      <c r="O143">
        <v>264</v>
      </c>
    </row>
    <row r="144" spans="2:15">
      <c r="B144" s="239">
        <f t="shared" si="6"/>
        <v>95</v>
      </c>
      <c r="C144" s="25" t="s">
        <v>481</v>
      </c>
      <c r="D144" s="25" t="s">
        <v>482</v>
      </c>
      <c r="E144" s="25">
        <v>256</v>
      </c>
      <c r="G144" s="239">
        <f t="shared" si="7"/>
        <v>95</v>
      </c>
      <c r="H144" s="25" t="s">
        <v>449</v>
      </c>
      <c r="I144" s="25" t="s">
        <v>450</v>
      </c>
      <c r="J144" s="25">
        <v>260</v>
      </c>
      <c r="L144" s="239">
        <f t="shared" si="8"/>
        <v>95</v>
      </c>
      <c r="M144" t="s">
        <v>435</v>
      </c>
      <c r="N144" t="s">
        <v>436</v>
      </c>
      <c r="O144">
        <v>265</v>
      </c>
    </row>
    <row r="145" spans="2:15">
      <c r="B145" s="239">
        <f t="shared" si="6"/>
        <v>96</v>
      </c>
      <c r="C145" s="25" t="s">
        <v>461</v>
      </c>
      <c r="D145" s="25" t="s">
        <v>462</v>
      </c>
      <c r="E145" s="25">
        <v>259</v>
      </c>
      <c r="G145" s="239">
        <f t="shared" si="7"/>
        <v>96</v>
      </c>
      <c r="H145" s="26" t="s">
        <v>487</v>
      </c>
      <c r="I145" s="26" t="s">
        <v>488</v>
      </c>
      <c r="J145" s="26">
        <v>262</v>
      </c>
      <c r="K145" s="8"/>
      <c r="L145" s="239">
        <f t="shared" si="8"/>
        <v>96</v>
      </c>
      <c r="M145" t="s">
        <v>459</v>
      </c>
      <c r="N145" t="s">
        <v>460</v>
      </c>
      <c r="O145">
        <v>266</v>
      </c>
    </row>
    <row r="146" spans="2:15">
      <c r="B146" s="239">
        <f t="shared" si="6"/>
        <v>97</v>
      </c>
      <c r="C146" s="25" t="s">
        <v>435</v>
      </c>
      <c r="D146" s="25" t="s">
        <v>436</v>
      </c>
      <c r="E146" s="25">
        <v>264</v>
      </c>
      <c r="G146" s="239">
        <f t="shared" si="7"/>
        <v>97</v>
      </c>
      <c r="H146" s="25" t="s">
        <v>359</v>
      </c>
      <c r="I146" s="25" t="s">
        <v>360</v>
      </c>
      <c r="J146" s="25">
        <v>262</v>
      </c>
      <c r="L146" s="239">
        <f t="shared" si="8"/>
        <v>97</v>
      </c>
      <c r="M146" t="s">
        <v>355</v>
      </c>
      <c r="N146" t="s">
        <v>356</v>
      </c>
      <c r="O146">
        <v>267</v>
      </c>
    </row>
    <row r="147" spans="2:15">
      <c r="B147" s="239">
        <f t="shared" si="6"/>
        <v>98</v>
      </c>
      <c r="C147" s="25" t="s">
        <v>489</v>
      </c>
      <c r="D147" s="25" t="s">
        <v>490</v>
      </c>
      <c r="E147" s="25">
        <v>266</v>
      </c>
      <c r="G147" s="239">
        <f t="shared" si="7"/>
        <v>98</v>
      </c>
      <c r="H147" s="25" t="s">
        <v>491</v>
      </c>
      <c r="I147" s="25" t="s">
        <v>492</v>
      </c>
      <c r="J147" s="25">
        <v>263</v>
      </c>
      <c r="L147" s="239">
        <f t="shared" si="8"/>
        <v>98</v>
      </c>
      <c r="M147" t="s">
        <v>651</v>
      </c>
      <c r="N147" t="s">
        <v>652</v>
      </c>
      <c r="O147">
        <v>269</v>
      </c>
    </row>
    <row r="148" spans="2:15">
      <c r="B148" s="239">
        <f t="shared" si="6"/>
        <v>99</v>
      </c>
      <c r="C148" s="25" t="s">
        <v>491</v>
      </c>
      <c r="D148" s="25" t="s">
        <v>492</v>
      </c>
      <c r="E148" s="25">
        <v>267</v>
      </c>
      <c r="G148" s="239">
        <f t="shared" si="7"/>
        <v>99</v>
      </c>
      <c r="H148" s="25" t="s">
        <v>481</v>
      </c>
      <c r="I148" s="25" t="s">
        <v>482</v>
      </c>
      <c r="J148" s="25">
        <v>265</v>
      </c>
      <c r="L148" s="239">
        <f t="shared" si="8"/>
        <v>99</v>
      </c>
      <c r="M148" t="s">
        <v>467</v>
      </c>
      <c r="N148" t="s">
        <v>468</v>
      </c>
      <c r="O148">
        <v>272</v>
      </c>
    </row>
    <row r="149" spans="2:15">
      <c r="B149" s="239">
        <f t="shared" si="6"/>
        <v>100</v>
      </c>
      <c r="C149" s="25" t="s">
        <v>485</v>
      </c>
      <c r="D149" s="25" t="s">
        <v>486</v>
      </c>
      <c r="E149" s="25">
        <v>267</v>
      </c>
      <c r="G149" s="239">
        <f t="shared" si="7"/>
        <v>100</v>
      </c>
      <c r="H149" s="25" t="s">
        <v>493</v>
      </c>
      <c r="I149" s="25" t="s">
        <v>494</v>
      </c>
      <c r="J149" s="25">
        <v>270</v>
      </c>
      <c r="L149" s="239">
        <f t="shared" si="8"/>
        <v>100</v>
      </c>
      <c r="M149" t="s">
        <v>489</v>
      </c>
      <c r="N149" t="s">
        <v>490</v>
      </c>
      <c r="O149">
        <v>276</v>
      </c>
    </row>
    <row r="150" spans="2:15">
      <c r="B150" s="239">
        <f t="shared" si="6"/>
        <v>101</v>
      </c>
      <c r="C150" s="25" t="s">
        <v>417</v>
      </c>
      <c r="D150" s="25" t="s">
        <v>418</v>
      </c>
      <c r="E150" s="25">
        <v>268</v>
      </c>
      <c r="G150" s="239">
        <f t="shared" si="7"/>
        <v>101</v>
      </c>
      <c r="H150" s="25" t="s">
        <v>457</v>
      </c>
      <c r="I150" s="25" t="s">
        <v>458</v>
      </c>
      <c r="J150" s="25">
        <v>270</v>
      </c>
      <c r="L150" s="239">
        <f t="shared" si="8"/>
        <v>101</v>
      </c>
      <c r="M150" t="s">
        <v>481</v>
      </c>
      <c r="N150" t="s">
        <v>482</v>
      </c>
      <c r="O150">
        <v>276</v>
      </c>
    </row>
    <row r="151" spans="2:15">
      <c r="B151" s="239">
        <f t="shared" si="6"/>
        <v>102</v>
      </c>
      <c r="C151" s="25" t="s">
        <v>451</v>
      </c>
      <c r="D151" s="25" t="s">
        <v>452</v>
      </c>
      <c r="E151" s="25">
        <v>271</v>
      </c>
      <c r="G151" s="239">
        <f t="shared" si="7"/>
        <v>102</v>
      </c>
      <c r="H151" s="25" t="s">
        <v>461</v>
      </c>
      <c r="I151" s="25" t="s">
        <v>462</v>
      </c>
      <c r="J151" s="25">
        <v>270</v>
      </c>
      <c r="L151" s="239">
        <f t="shared" si="8"/>
        <v>102</v>
      </c>
      <c r="M151" t="s">
        <v>485</v>
      </c>
      <c r="N151" t="s">
        <v>486</v>
      </c>
      <c r="O151">
        <v>277</v>
      </c>
    </row>
    <row r="152" spans="2:15">
      <c r="B152" s="239">
        <f t="shared" si="6"/>
        <v>103</v>
      </c>
      <c r="C152" s="25" t="s">
        <v>463</v>
      </c>
      <c r="D152" s="25" t="s">
        <v>464</v>
      </c>
      <c r="E152" s="25">
        <v>272</v>
      </c>
      <c r="G152" s="239">
        <f t="shared" si="7"/>
        <v>103</v>
      </c>
      <c r="H152" s="25" t="s">
        <v>423</v>
      </c>
      <c r="I152" s="25" t="s">
        <v>424</v>
      </c>
      <c r="J152" s="25">
        <v>275</v>
      </c>
      <c r="L152" s="239">
        <f t="shared" si="8"/>
        <v>103</v>
      </c>
      <c r="M152" t="s">
        <v>477</v>
      </c>
      <c r="N152" t="s">
        <v>478</v>
      </c>
      <c r="O152">
        <v>277</v>
      </c>
    </row>
    <row r="153" spans="2:15">
      <c r="B153" s="239">
        <f t="shared" si="6"/>
        <v>104</v>
      </c>
      <c r="C153" s="25" t="s">
        <v>473</v>
      </c>
      <c r="D153" s="25" t="s">
        <v>474</v>
      </c>
      <c r="E153" s="25">
        <v>274</v>
      </c>
      <c r="G153" s="239">
        <f t="shared" si="7"/>
        <v>104</v>
      </c>
      <c r="H153" s="25" t="s">
        <v>483</v>
      </c>
      <c r="I153" s="25" t="s">
        <v>484</v>
      </c>
      <c r="J153" s="25">
        <v>279</v>
      </c>
      <c r="L153" s="239">
        <f t="shared" si="8"/>
        <v>104</v>
      </c>
      <c r="M153" t="s">
        <v>421</v>
      </c>
      <c r="N153" t="s">
        <v>422</v>
      </c>
      <c r="O153">
        <v>280</v>
      </c>
    </row>
    <row r="154" spans="2:15">
      <c r="B154" s="239">
        <f t="shared" si="6"/>
        <v>105</v>
      </c>
      <c r="C154" s="25" t="s">
        <v>487</v>
      </c>
      <c r="D154" s="25" t="s">
        <v>488</v>
      </c>
      <c r="E154" s="25">
        <v>275</v>
      </c>
      <c r="G154" s="239">
        <f t="shared" si="7"/>
        <v>105</v>
      </c>
      <c r="H154" s="25" t="s">
        <v>495</v>
      </c>
      <c r="I154" s="25" t="s">
        <v>496</v>
      </c>
      <c r="J154" s="25">
        <v>279</v>
      </c>
      <c r="L154" s="239">
        <f t="shared" si="8"/>
        <v>105</v>
      </c>
      <c r="M154" t="s">
        <v>473</v>
      </c>
      <c r="N154" t="s">
        <v>474</v>
      </c>
      <c r="O154">
        <v>281</v>
      </c>
    </row>
    <row r="155" spans="2:15">
      <c r="B155" s="239">
        <f t="shared" si="6"/>
        <v>106</v>
      </c>
      <c r="C155" s="25" t="s">
        <v>359</v>
      </c>
      <c r="D155" s="25" t="s">
        <v>360</v>
      </c>
      <c r="E155" s="25">
        <v>281</v>
      </c>
      <c r="G155" s="239">
        <f t="shared" si="7"/>
        <v>106</v>
      </c>
      <c r="H155" s="25" t="s">
        <v>497</v>
      </c>
      <c r="I155" s="25" t="s">
        <v>498</v>
      </c>
      <c r="J155" s="25">
        <v>283</v>
      </c>
      <c r="L155" s="239">
        <f t="shared" si="8"/>
        <v>106</v>
      </c>
      <c r="M155" t="s">
        <v>497</v>
      </c>
      <c r="N155" t="s">
        <v>498</v>
      </c>
      <c r="O155">
        <v>284</v>
      </c>
    </row>
    <row r="156" spans="2:15">
      <c r="B156" s="239">
        <f t="shared" si="6"/>
        <v>107</v>
      </c>
      <c r="C156" s="25" t="s">
        <v>421</v>
      </c>
      <c r="D156" s="25" t="s">
        <v>422</v>
      </c>
      <c r="E156" s="25">
        <v>285</v>
      </c>
      <c r="G156" s="239">
        <f t="shared" si="7"/>
        <v>107</v>
      </c>
      <c r="H156" s="25" t="s">
        <v>489</v>
      </c>
      <c r="I156" s="25" t="s">
        <v>490</v>
      </c>
      <c r="J156" s="25">
        <v>283</v>
      </c>
      <c r="L156" s="239">
        <f t="shared" si="8"/>
        <v>107</v>
      </c>
      <c r="M156" t="s">
        <v>491</v>
      </c>
      <c r="N156" t="s">
        <v>492</v>
      </c>
      <c r="O156">
        <v>286</v>
      </c>
    </row>
    <row r="157" spans="2:15">
      <c r="B157" s="239">
        <f t="shared" si="6"/>
        <v>108</v>
      </c>
      <c r="C157" s="25" t="s">
        <v>495</v>
      </c>
      <c r="D157" s="25" t="s">
        <v>496</v>
      </c>
      <c r="E157" s="25">
        <v>288</v>
      </c>
      <c r="G157" s="239">
        <f t="shared" si="7"/>
        <v>108</v>
      </c>
      <c r="H157" s="25" t="s">
        <v>485</v>
      </c>
      <c r="I157" s="25" t="s">
        <v>486</v>
      </c>
      <c r="J157" s="25">
        <v>292</v>
      </c>
      <c r="L157" s="239">
        <f t="shared" si="8"/>
        <v>108</v>
      </c>
      <c r="M157" t="s">
        <v>407</v>
      </c>
      <c r="N157" t="s">
        <v>408</v>
      </c>
      <c r="O157">
        <v>286</v>
      </c>
    </row>
    <row r="158" spans="2:15">
      <c r="B158" s="239">
        <f t="shared" si="6"/>
        <v>109</v>
      </c>
      <c r="C158" s="25" t="s">
        <v>389</v>
      </c>
      <c r="D158" s="25" t="s">
        <v>390</v>
      </c>
      <c r="E158" s="25">
        <v>289</v>
      </c>
      <c r="G158" s="239">
        <f t="shared" si="7"/>
        <v>109</v>
      </c>
      <c r="H158" s="25" t="s">
        <v>427</v>
      </c>
      <c r="I158" s="25" t="s">
        <v>428</v>
      </c>
      <c r="J158" s="25">
        <v>293</v>
      </c>
      <c r="L158" s="239">
        <f t="shared" si="8"/>
        <v>109</v>
      </c>
      <c r="M158" t="s">
        <v>487</v>
      </c>
      <c r="N158" t="s">
        <v>488</v>
      </c>
      <c r="O158">
        <v>287</v>
      </c>
    </row>
    <row r="159" spans="2:15">
      <c r="B159" s="239">
        <f t="shared" si="6"/>
        <v>110</v>
      </c>
      <c r="C159" s="25" t="s">
        <v>499</v>
      </c>
      <c r="D159" s="25" t="s">
        <v>500</v>
      </c>
      <c r="E159" s="25">
        <v>296</v>
      </c>
      <c r="G159" s="239">
        <f t="shared" si="7"/>
        <v>110</v>
      </c>
      <c r="H159" s="25" t="s">
        <v>451</v>
      </c>
      <c r="I159" s="25" t="s">
        <v>452</v>
      </c>
      <c r="J159" s="25">
        <v>294</v>
      </c>
      <c r="L159" s="239">
        <f t="shared" si="8"/>
        <v>110</v>
      </c>
      <c r="M159" t="s">
        <v>493</v>
      </c>
      <c r="N159" t="s">
        <v>494</v>
      </c>
      <c r="O159">
        <v>289</v>
      </c>
    </row>
    <row r="160" spans="2:15">
      <c r="B160" s="239">
        <f t="shared" si="6"/>
        <v>111</v>
      </c>
      <c r="C160" s="25" t="s">
        <v>503</v>
      </c>
      <c r="D160" s="25" t="s">
        <v>504</v>
      </c>
      <c r="E160" s="25">
        <v>298</v>
      </c>
      <c r="G160" s="239">
        <f t="shared" si="7"/>
        <v>111</v>
      </c>
      <c r="H160" s="25" t="s">
        <v>499</v>
      </c>
      <c r="I160" s="25" t="s">
        <v>500</v>
      </c>
      <c r="J160" s="25">
        <v>295</v>
      </c>
      <c r="L160" s="239">
        <f t="shared" si="8"/>
        <v>111</v>
      </c>
      <c r="M160" t="s">
        <v>645</v>
      </c>
      <c r="N160" t="s">
        <v>646</v>
      </c>
      <c r="O160">
        <v>290</v>
      </c>
    </row>
    <row r="161" spans="2:15">
      <c r="B161" s="239">
        <f t="shared" si="6"/>
        <v>112</v>
      </c>
      <c r="C161" s="25" t="s">
        <v>465</v>
      </c>
      <c r="D161" s="25" t="s">
        <v>466</v>
      </c>
      <c r="E161" s="25">
        <v>298</v>
      </c>
      <c r="G161" s="239">
        <f t="shared" si="7"/>
        <v>112</v>
      </c>
      <c r="H161" s="25" t="s">
        <v>505</v>
      </c>
      <c r="I161" s="25" t="s">
        <v>506</v>
      </c>
      <c r="J161" s="25">
        <v>308</v>
      </c>
      <c r="L161" s="239">
        <f t="shared" si="8"/>
        <v>112</v>
      </c>
      <c r="M161" t="s">
        <v>369</v>
      </c>
      <c r="N161" t="s">
        <v>370</v>
      </c>
      <c r="O161">
        <v>294</v>
      </c>
    </row>
    <row r="162" spans="2:15">
      <c r="B162" s="239">
        <f t="shared" si="6"/>
        <v>113</v>
      </c>
      <c r="C162" s="25" t="s">
        <v>447</v>
      </c>
      <c r="D162" s="25" t="s">
        <v>448</v>
      </c>
      <c r="E162" s="25">
        <v>304</v>
      </c>
      <c r="G162" s="239">
        <f t="shared" si="7"/>
        <v>113</v>
      </c>
      <c r="H162" s="26" t="s">
        <v>242</v>
      </c>
      <c r="I162" s="26" t="s">
        <v>243</v>
      </c>
      <c r="J162" s="26">
        <v>313</v>
      </c>
      <c r="K162" s="8"/>
      <c r="L162" s="239">
        <f t="shared" si="8"/>
        <v>113</v>
      </c>
      <c r="M162" t="s">
        <v>495</v>
      </c>
      <c r="N162" t="s">
        <v>496</v>
      </c>
      <c r="O162">
        <v>296</v>
      </c>
    </row>
    <row r="163" spans="2:15">
      <c r="B163" s="239">
        <f t="shared" si="6"/>
        <v>114</v>
      </c>
      <c r="C163" s="25" t="s">
        <v>483</v>
      </c>
      <c r="D163" s="25" t="s">
        <v>484</v>
      </c>
      <c r="E163" s="25">
        <v>305</v>
      </c>
      <c r="G163" s="239">
        <f t="shared" si="7"/>
        <v>114</v>
      </c>
      <c r="H163" s="25" t="s">
        <v>455</v>
      </c>
      <c r="I163" s="25" t="s">
        <v>456</v>
      </c>
      <c r="J163" s="25">
        <v>315</v>
      </c>
      <c r="L163" s="239">
        <f t="shared" si="8"/>
        <v>114</v>
      </c>
      <c r="M163" t="s">
        <v>244</v>
      </c>
      <c r="N163" t="s">
        <v>245</v>
      </c>
      <c r="O163">
        <v>300</v>
      </c>
    </row>
    <row r="164" spans="2:15">
      <c r="B164" s="239">
        <f t="shared" si="6"/>
        <v>115</v>
      </c>
      <c r="C164" s="25" t="s">
        <v>244</v>
      </c>
      <c r="D164" s="25" t="s">
        <v>245</v>
      </c>
      <c r="E164" s="25">
        <v>314</v>
      </c>
      <c r="G164" s="239">
        <f t="shared" si="7"/>
        <v>115</v>
      </c>
      <c r="H164" s="25" t="s">
        <v>469</v>
      </c>
      <c r="I164" s="25" t="s">
        <v>470</v>
      </c>
      <c r="J164" s="25">
        <v>316</v>
      </c>
      <c r="L164" s="239">
        <f t="shared" si="8"/>
        <v>115</v>
      </c>
      <c r="M164" t="s">
        <v>471</v>
      </c>
      <c r="N164" t="s">
        <v>472</v>
      </c>
      <c r="O164">
        <v>311</v>
      </c>
    </row>
    <row r="165" spans="2:15">
      <c r="B165" s="239">
        <f t="shared" si="6"/>
        <v>116</v>
      </c>
      <c r="C165" s="25" t="s">
        <v>497</v>
      </c>
      <c r="D165" s="25" t="s">
        <v>498</v>
      </c>
      <c r="E165" s="25">
        <v>317</v>
      </c>
      <c r="G165" s="239">
        <f t="shared" si="7"/>
        <v>116</v>
      </c>
      <c r="H165" s="25" t="s">
        <v>244</v>
      </c>
      <c r="I165" s="25" t="s">
        <v>245</v>
      </c>
      <c r="J165" s="25">
        <v>317</v>
      </c>
      <c r="L165" s="239">
        <f t="shared" si="8"/>
        <v>116</v>
      </c>
      <c r="M165" t="s">
        <v>445</v>
      </c>
      <c r="N165" t="s">
        <v>446</v>
      </c>
      <c r="O165">
        <v>312</v>
      </c>
    </row>
    <row r="166" spans="2:15">
      <c r="B166" s="239">
        <f t="shared" si="6"/>
        <v>117</v>
      </c>
      <c r="C166" s="25" t="s">
        <v>469</v>
      </c>
      <c r="D166" s="25" t="s">
        <v>470</v>
      </c>
      <c r="E166" s="25">
        <v>321</v>
      </c>
      <c r="G166" s="239">
        <f t="shared" si="7"/>
        <v>117</v>
      </c>
      <c r="H166" s="25" t="s">
        <v>246</v>
      </c>
      <c r="I166" s="25" t="s">
        <v>247</v>
      </c>
      <c r="J166" s="25">
        <v>319</v>
      </c>
      <c r="L166" s="239">
        <f t="shared" si="8"/>
        <v>117</v>
      </c>
      <c r="M166" t="s">
        <v>248</v>
      </c>
      <c r="N166" t="s">
        <v>249</v>
      </c>
      <c r="O166">
        <v>315</v>
      </c>
    </row>
    <row r="167" spans="2:15">
      <c r="B167" s="239">
        <f t="shared" si="6"/>
        <v>118</v>
      </c>
      <c r="C167" s="25" t="s">
        <v>254</v>
      </c>
      <c r="D167" s="25" t="s">
        <v>255</v>
      </c>
      <c r="E167" s="25">
        <v>329</v>
      </c>
      <c r="G167" s="239">
        <f t="shared" si="7"/>
        <v>118</v>
      </c>
      <c r="H167" s="25" t="s">
        <v>453</v>
      </c>
      <c r="I167" s="25" t="s">
        <v>454</v>
      </c>
      <c r="J167" s="25">
        <v>323</v>
      </c>
      <c r="L167" s="239">
        <f t="shared" si="8"/>
        <v>118</v>
      </c>
      <c r="M167" t="s">
        <v>499</v>
      </c>
      <c r="N167" t="s">
        <v>500</v>
      </c>
      <c r="O167">
        <v>316</v>
      </c>
    </row>
    <row r="168" spans="2:15">
      <c r="B168" s="239">
        <f t="shared" si="6"/>
        <v>119</v>
      </c>
      <c r="C168" s="25" t="s">
        <v>258</v>
      </c>
      <c r="D168" s="25" t="s">
        <v>259</v>
      </c>
      <c r="E168" s="25">
        <v>332</v>
      </c>
      <c r="G168" s="239">
        <f t="shared" si="7"/>
        <v>119</v>
      </c>
      <c r="H168" s="25" t="s">
        <v>441</v>
      </c>
      <c r="I168" s="25" t="s">
        <v>442</v>
      </c>
      <c r="J168" s="25">
        <v>329</v>
      </c>
      <c r="L168" s="239">
        <f t="shared" si="8"/>
        <v>119</v>
      </c>
      <c r="M168" t="s">
        <v>250</v>
      </c>
      <c r="N168" t="s">
        <v>251</v>
      </c>
      <c r="O168">
        <v>316</v>
      </c>
    </row>
    <row r="169" spans="2:15">
      <c r="B169" s="239">
        <f t="shared" si="6"/>
        <v>120</v>
      </c>
      <c r="C169" s="25" t="s">
        <v>477</v>
      </c>
      <c r="D169" s="25" t="s">
        <v>478</v>
      </c>
      <c r="E169" s="25">
        <v>333</v>
      </c>
      <c r="G169" s="239">
        <f t="shared" si="7"/>
        <v>120</v>
      </c>
      <c r="H169" s="25" t="s">
        <v>403</v>
      </c>
      <c r="I169" s="25" t="s">
        <v>404</v>
      </c>
      <c r="J169" s="25">
        <v>331</v>
      </c>
      <c r="L169" s="239">
        <f t="shared" si="8"/>
        <v>120</v>
      </c>
      <c r="M169" t="s">
        <v>242</v>
      </c>
      <c r="N169" t="s">
        <v>243</v>
      </c>
      <c r="O169">
        <v>322</v>
      </c>
    </row>
    <row r="170" spans="2:15">
      <c r="B170" s="239">
        <f t="shared" si="6"/>
        <v>121</v>
      </c>
      <c r="C170" s="25" t="s">
        <v>501</v>
      </c>
      <c r="D170" s="25" t="s">
        <v>502</v>
      </c>
      <c r="E170" s="25">
        <v>335</v>
      </c>
      <c r="G170" s="239">
        <f t="shared" si="7"/>
        <v>121</v>
      </c>
      <c r="H170" s="25" t="s">
        <v>503</v>
      </c>
      <c r="I170" s="25" t="s">
        <v>504</v>
      </c>
      <c r="J170" s="25">
        <v>335</v>
      </c>
      <c r="L170" s="239">
        <f t="shared" si="8"/>
        <v>121</v>
      </c>
      <c r="M170" t="s">
        <v>252</v>
      </c>
      <c r="N170" t="s">
        <v>253</v>
      </c>
      <c r="O170">
        <v>324</v>
      </c>
    </row>
    <row r="171" spans="2:15">
      <c r="B171" s="239">
        <f t="shared" si="6"/>
        <v>122</v>
      </c>
      <c r="C171" s="25" t="s">
        <v>246</v>
      </c>
      <c r="D171" s="25" t="s">
        <v>247</v>
      </c>
      <c r="E171" s="25">
        <v>335</v>
      </c>
      <c r="G171" s="239">
        <f t="shared" si="7"/>
        <v>122</v>
      </c>
      <c r="H171" s="25" t="s">
        <v>365</v>
      </c>
      <c r="I171" s="25" t="s">
        <v>366</v>
      </c>
      <c r="J171" s="25">
        <v>336</v>
      </c>
      <c r="L171" s="239">
        <f t="shared" si="8"/>
        <v>122</v>
      </c>
      <c r="M171" t="s">
        <v>254</v>
      </c>
      <c r="N171" t="s">
        <v>255</v>
      </c>
      <c r="O171">
        <v>328</v>
      </c>
    </row>
    <row r="172" spans="2:15">
      <c r="B172" s="239">
        <f t="shared" si="6"/>
        <v>123</v>
      </c>
      <c r="C172" s="25" t="s">
        <v>377</v>
      </c>
      <c r="D172" s="25" t="s">
        <v>378</v>
      </c>
      <c r="E172" s="25">
        <v>336</v>
      </c>
      <c r="G172" s="239">
        <f t="shared" si="7"/>
        <v>123</v>
      </c>
      <c r="H172" s="25" t="s">
        <v>447</v>
      </c>
      <c r="I172" s="25" t="s">
        <v>448</v>
      </c>
      <c r="J172" s="25">
        <v>340</v>
      </c>
      <c r="L172" s="239">
        <f t="shared" si="8"/>
        <v>123</v>
      </c>
      <c r="M172" t="s">
        <v>256</v>
      </c>
      <c r="N172" t="s">
        <v>257</v>
      </c>
      <c r="O172">
        <v>329</v>
      </c>
    </row>
    <row r="173" spans="2:15">
      <c r="B173" s="239">
        <f t="shared" si="6"/>
        <v>124</v>
      </c>
      <c r="C173" s="25" t="s">
        <v>453</v>
      </c>
      <c r="D173" s="25" t="s">
        <v>454</v>
      </c>
      <c r="E173" s="25">
        <v>337</v>
      </c>
      <c r="G173" s="239">
        <f t="shared" si="7"/>
        <v>124</v>
      </c>
      <c r="H173" s="25" t="s">
        <v>260</v>
      </c>
      <c r="I173" s="25" t="s">
        <v>261</v>
      </c>
      <c r="J173" s="25">
        <v>348</v>
      </c>
      <c r="L173" s="239">
        <f t="shared" si="8"/>
        <v>124</v>
      </c>
      <c r="M173" t="s">
        <v>465</v>
      </c>
      <c r="N173" t="s">
        <v>466</v>
      </c>
      <c r="O173">
        <v>329</v>
      </c>
    </row>
    <row r="174" spans="2:15">
      <c r="B174" s="239">
        <f t="shared" si="6"/>
        <v>125</v>
      </c>
      <c r="C174" s="25" t="s">
        <v>272</v>
      </c>
      <c r="D174" s="25" t="s">
        <v>273</v>
      </c>
      <c r="E174" s="25">
        <v>346</v>
      </c>
      <c r="G174" s="239">
        <f t="shared" si="7"/>
        <v>125</v>
      </c>
      <c r="H174" s="25" t="s">
        <v>501</v>
      </c>
      <c r="I174" s="25" t="s">
        <v>502</v>
      </c>
      <c r="J174" s="25">
        <v>349</v>
      </c>
      <c r="L174" s="239">
        <f t="shared" si="8"/>
        <v>125</v>
      </c>
      <c r="M174" t="s">
        <v>365</v>
      </c>
      <c r="N174" t="s">
        <v>366</v>
      </c>
      <c r="O174">
        <v>346</v>
      </c>
    </row>
    <row r="175" spans="2:15">
      <c r="B175" s="239">
        <f t="shared" si="6"/>
        <v>126</v>
      </c>
      <c r="C175" s="25" t="s">
        <v>505</v>
      </c>
      <c r="D175" s="25" t="s">
        <v>506</v>
      </c>
      <c r="E175" s="25">
        <v>348</v>
      </c>
      <c r="G175" s="239">
        <f t="shared" si="7"/>
        <v>126</v>
      </c>
      <c r="H175" s="25" t="s">
        <v>256</v>
      </c>
      <c r="I175" s="25" t="s">
        <v>257</v>
      </c>
      <c r="J175" s="25">
        <v>359</v>
      </c>
      <c r="L175" s="239">
        <f t="shared" si="8"/>
        <v>126</v>
      </c>
      <c r="M175" t="s">
        <v>501</v>
      </c>
      <c r="N175" t="s">
        <v>502</v>
      </c>
      <c r="O175">
        <v>347</v>
      </c>
    </row>
    <row r="176" spans="2:15">
      <c r="B176" s="239">
        <f t="shared" si="6"/>
        <v>127</v>
      </c>
      <c r="C176" s="25" t="s">
        <v>262</v>
      </c>
      <c r="D176" s="25" t="s">
        <v>263</v>
      </c>
      <c r="E176" s="25">
        <v>349</v>
      </c>
      <c r="G176" s="239">
        <f t="shared" si="7"/>
        <v>127</v>
      </c>
      <c r="H176" s="25" t="s">
        <v>254</v>
      </c>
      <c r="I176" s="25" t="s">
        <v>255</v>
      </c>
      <c r="J176" s="25">
        <v>362</v>
      </c>
      <c r="L176" s="239">
        <f t="shared" si="8"/>
        <v>127</v>
      </c>
      <c r="M176" t="s">
        <v>264</v>
      </c>
      <c r="N176" t="s">
        <v>265</v>
      </c>
      <c r="O176">
        <v>347</v>
      </c>
    </row>
    <row r="177" spans="2:15">
      <c r="B177" s="239">
        <f t="shared" si="6"/>
        <v>128</v>
      </c>
      <c r="C177" s="25" t="s">
        <v>270</v>
      </c>
      <c r="D177" s="25" t="s">
        <v>271</v>
      </c>
      <c r="E177" s="25">
        <v>350</v>
      </c>
      <c r="G177" s="239">
        <f t="shared" si="7"/>
        <v>128</v>
      </c>
      <c r="H177" s="25" t="s">
        <v>268</v>
      </c>
      <c r="I177" s="25" t="s">
        <v>269</v>
      </c>
      <c r="J177" s="25">
        <v>365</v>
      </c>
      <c r="L177" s="239">
        <f t="shared" si="8"/>
        <v>128</v>
      </c>
      <c r="M177" t="s">
        <v>270</v>
      </c>
      <c r="N177" t="s">
        <v>271</v>
      </c>
      <c r="O177">
        <v>350</v>
      </c>
    </row>
    <row r="178" spans="2:15">
      <c r="B178" s="239">
        <f t="shared" si="6"/>
        <v>129</v>
      </c>
      <c r="C178" s="25" t="s">
        <v>256</v>
      </c>
      <c r="D178" s="25" t="s">
        <v>257</v>
      </c>
      <c r="E178" s="25">
        <v>356</v>
      </c>
      <c r="G178" s="239">
        <f t="shared" si="7"/>
        <v>129</v>
      </c>
      <c r="H178" s="25" t="s">
        <v>270</v>
      </c>
      <c r="I178" s="25" t="s">
        <v>271</v>
      </c>
      <c r="J178" s="25">
        <v>366</v>
      </c>
      <c r="L178" s="239">
        <f t="shared" si="8"/>
        <v>129</v>
      </c>
      <c r="M178" t="s">
        <v>274</v>
      </c>
      <c r="N178" t="s">
        <v>275</v>
      </c>
      <c r="O178">
        <v>351</v>
      </c>
    </row>
    <row r="179" spans="2:15">
      <c r="B179" s="239">
        <f t="shared" si="6"/>
        <v>130</v>
      </c>
      <c r="C179" s="25" t="s">
        <v>266</v>
      </c>
      <c r="D179" s="25" t="s">
        <v>267</v>
      </c>
      <c r="E179" s="25">
        <v>358</v>
      </c>
      <c r="G179" s="239">
        <f t="shared" si="7"/>
        <v>130</v>
      </c>
      <c r="H179" s="25" t="s">
        <v>391</v>
      </c>
      <c r="I179" s="25" t="s">
        <v>392</v>
      </c>
      <c r="J179" s="25">
        <v>367</v>
      </c>
      <c r="L179" s="239">
        <f t="shared" si="8"/>
        <v>130</v>
      </c>
      <c r="M179" t="s">
        <v>276</v>
      </c>
      <c r="N179" t="s">
        <v>277</v>
      </c>
      <c r="O179">
        <v>351</v>
      </c>
    </row>
    <row r="180" spans="2:15">
      <c r="B180" s="239">
        <f t="shared" ref="B180:B212" si="9">B179+1</f>
        <v>131</v>
      </c>
      <c r="C180" s="25" t="s">
        <v>493</v>
      </c>
      <c r="D180" s="25" t="s">
        <v>494</v>
      </c>
      <c r="E180" s="25">
        <v>360</v>
      </c>
      <c r="G180" s="239">
        <f t="shared" ref="G180:G216" si="10">G179+1</f>
        <v>131</v>
      </c>
      <c r="H180" s="26" t="s">
        <v>262</v>
      </c>
      <c r="I180" s="26" t="s">
        <v>263</v>
      </c>
      <c r="J180" s="26">
        <v>368</v>
      </c>
      <c r="K180" s="8"/>
      <c r="L180" s="239">
        <f t="shared" ref="L180:L212" si="11">L179+1</f>
        <v>131</v>
      </c>
      <c r="M180" t="s">
        <v>262</v>
      </c>
      <c r="N180" t="s">
        <v>263</v>
      </c>
      <c r="O180">
        <v>353</v>
      </c>
    </row>
    <row r="181" spans="2:15">
      <c r="B181" s="239">
        <f t="shared" si="9"/>
        <v>132</v>
      </c>
      <c r="C181" s="25" t="s">
        <v>248</v>
      </c>
      <c r="D181" s="25" t="s">
        <v>249</v>
      </c>
      <c r="E181" s="25">
        <v>361</v>
      </c>
      <c r="G181" s="239">
        <f t="shared" si="10"/>
        <v>132</v>
      </c>
      <c r="H181" s="25" t="s">
        <v>274</v>
      </c>
      <c r="I181" s="25" t="s">
        <v>275</v>
      </c>
      <c r="J181" s="25">
        <v>368</v>
      </c>
      <c r="L181" s="239">
        <f t="shared" si="11"/>
        <v>132</v>
      </c>
      <c r="M181" s="2" t="s">
        <v>280</v>
      </c>
      <c r="N181" s="2" t="s">
        <v>281</v>
      </c>
      <c r="O181" s="2">
        <v>358</v>
      </c>
    </row>
    <row r="182" spans="2:15">
      <c r="B182" s="239">
        <f t="shared" si="9"/>
        <v>133</v>
      </c>
      <c r="C182" s="25" t="s">
        <v>284</v>
      </c>
      <c r="D182" s="25" t="s">
        <v>285</v>
      </c>
      <c r="E182" s="25">
        <v>367</v>
      </c>
      <c r="G182" s="239">
        <f t="shared" si="10"/>
        <v>133</v>
      </c>
      <c r="H182" s="25" t="s">
        <v>280</v>
      </c>
      <c r="I182" s="25" t="s">
        <v>281</v>
      </c>
      <c r="J182" s="25">
        <v>369</v>
      </c>
      <c r="L182" s="239">
        <f t="shared" si="11"/>
        <v>133</v>
      </c>
      <c r="M182" t="s">
        <v>282</v>
      </c>
      <c r="N182" t="s">
        <v>283</v>
      </c>
      <c r="O182">
        <v>359</v>
      </c>
    </row>
    <row r="183" spans="2:15">
      <c r="B183" s="239">
        <f t="shared" si="9"/>
        <v>134</v>
      </c>
      <c r="C183" s="29" t="s">
        <v>260</v>
      </c>
      <c r="D183" s="29" t="s">
        <v>261</v>
      </c>
      <c r="E183" s="29">
        <v>381</v>
      </c>
      <c r="G183" s="239">
        <f t="shared" si="10"/>
        <v>134</v>
      </c>
      <c r="H183" s="25" t="s">
        <v>264</v>
      </c>
      <c r="I183" s="25" t="s">
        <v>265</v>
      </c>
      <c r="J183" s="25">
        <v>369</v>
      </c>
      <c r="L183" s="239">
        <f t="shared" si="11"/>
        <v>134</v>
      </c>
      <c r="M183" t="s">
        <v>455</v>
      </c>
      <c r="N183" t="s">
        <v>456</v>
      </c>
      <c r="O183">
        <v>362</v>
      </c>
    </row>
    <row r="184" spans="2:15">
      <c r="B184" s="239">
        <f t="shared" si="9"/>
        <v>135</v>
      </c>
      <c r="C184" s="29" t="s">
        <v>280</v>
      </c>
      <c r="D184" s="29" t="s">
        <v>281</v>
      </c>
      <c r="E184" s="29">
        <v>382</v>
      </c>
      <c r="G184" s="239">
        <f t="shared" si="10"/>
        <v>135</v>
      </c>
      <c r="H184" s="25" t="s">
        <v>286</v>
      </c>
      <c r="I184" s="25" t="s">
        <v>287</v>
      </c>
      <c r="J184" s="25">
        <v>370</v>
      </c>
      <c r="L184" s="239">
        <f t="shared" si="11"/>
        <v>135</v>
      </c>
      <c r="M184" t="s">
        <v>288</v>
      </c>
      <c r="N184" t="s">
        <v>279</v>
      </c>
      <c r="O184">
        <v>365</v>
      </c>
    </row>
    <row r="185" spans="2:15">
      <c r="B185" s="239">
        <f t="shared" si="9"/>
        <v>136</v>
      </c>
      <c r="C185" s="29" t="s">
        <v>274</v>
      </c>
      <c r="D185" s="29" t="s">
        <v>275</v>
      </c>
      <c r="E185" s="29">
        <v>386</v>
      </c>
      <c r="G185" s="239">
        <f t="shared" si="10"/>
        <v>136</v>
      </c>
      <c r="H185" s="25" t="s">
        <v>266</v>
      </c>
      <c r="I185" s="25" t="s">
        <v>267</v>
      </c>
      <c r="J185" s="25">
        <v>373</v>
      </c>
      <c r="L185" s="239">
        <f t="shared" si="11"/>
        <v>136</v>
      </c>
      <c r="M185" t="s">
        <v>289</v>
      </c>
      <c r="N185" t="s">
        <v>290</v>
      </c>
      <c r="O185">
        <v>366</v>
      </c>
    </row>
    <row r="186" spans="2:15">
      <c r="B186" s="239">
        <f t="shared" si="9"/>
        <v>137</v>
      </c>
      <c r="C186" s="29" t="s">
        <v>276</v>
      </c>
      <c r="D186" s="29" t="s">
        <v>277</v>
      </c>
      <c r="E186" s="29">
        <v>389</v>
      </c>
      <c r="G186" s="239">
        <f t="shared" si="10"/>
        <v>137</v>
      </c>
      <c r="H186" s="25" t="s">
        <v>248</v>
      </c>
      <c r="I186" s="25" t="s">
        <v>249</v>
      </c>
      <c r="J186" s="25">
        <v>374</v>
      </c>
      <c r="L186" s="239">
        <f t="shared" si="11"/>
        <v>137</v>
      </c>
      <c r="M186" t="s">
        <v>246</v>
      </c>
      <c r="N186" t="s">
        <v>247</v>
      </c>
      <c r="O186">
        <v>367</v>
      </c>
    </row>
    <row r="187" spans="2:15">
      <c r="B187" s="239">
        <f t="shared" si="9"/>
        <v>138</v>
      </c>
      <c r="C187" s="29" t="s">
        <v>403</v>
      </c>
      <c r="D187" s="29" t="s">
        <v>404</v>
      </c>
      <c r="E187" s="29">
        <v>389</v>
      </c>
      <c r="G187" s="239">
        <f t="shared" si="10"/>
        <v>138</v>
      </c>
      <c r="H187" s="25" t="s">
        <v>291</v>
      </c>
      <c r="I187" s="25" t="s">
        <v>292</v>
      </c>
      <c r="J187" s="25">
        <v>374</v>
      </c>
      <c r="L187" s="239">
        <f t="shared" si="11"/>
        <v>138</v>
      </c>
      <c r="M187" t="s">
        <v>266</v>
      </c>
      <c r="N187" t="s">
        <v>267</v>
      </c>
      <c r="O187">
        <v>368</v>
      </c>
    </row>
    <row r="188" spans="2:15">
      <c r="B188" s="239">
        <f t="shared" si="9"/>
        <v>139</v>
      </c>
      <c r="C188" s="29" t="s">
        <v>252</v>
      </c>
      <c r="D188" s="29" t="s">
        <v>253</v>
      </c>
      <c r="E188" s="29">
        <v>389</v>
      </c>
      <c r="G188" s="239">
        <f t="shared" si="10"/>
        <v>139</v>
      </c>
      <c r="H188" s="25" t="s">
        <v>284</v>
      </c>
      <c r="I188" s="25" t="s">
        <v>285</v>
      </c>
      <c r="J188" s="25">
        <v>380</v>
      </c>
      <c r="L188" s="239">
        <f t="shared" si="11"/>
        <v>139</v>
      </c>
      <c r="M188" t="s">
        <v>503</v>
      </c>
      <c r="N188" t="s">
        <v>504</v>
      </c>
      <c r="O188">
        <v>368</v>
      </c>
    </row>
    <row r="189" spans="2:15">
      <c r="B189" s="239">
        <f t="shared" si="9"/>
        <v>140</v>
      </c>
      <c r="C189" s="29" t="s">
        <v>242</v>
      </c>
      <c r="D189" s="29" t="s">
        <v>243</v>
      </c>
      <c r="E189" s="29">
        <v>390</v>
      </c>
      <c r="G189" s="239">
        <f t="shared" si="10"/>
        <v>140</v>
      </c>
      <c r="H189" s="25" t="s">
        <v>293</v>
      </c>
      <c r="I189" s="25" t="s">
        <v>294</v>
      </c>
      <c r="J189" s="25">
        <v>382</v>
      </c>
      <c r="L189" s="239">
        <f t="shared" si="11"/>
        <v>140</v>
      </c>
      <c r="M189" t="s">
        <v>260</v>
      </c>
      <c r="N189" t="s">
        <v>261</v>
      </c>
      <c r="O189">
        <v>372</v>
      </c>
    </row>
    <row r="190" spans="2:15">
      <c r="B190" s="239">
        <f t="shared" si="9"/>
        <v>141</v>
      </c>
      <c r="C190" s="29" t="s">
        <v>289</v>
      </c>
      <c r="D190" s="29" t="s">
        <v>290</v>
      </c>
      <c r="E190" s="29">
        <v>391</v>
      </c>
      <c r="G190" s="239">
        <f t="shared" si="10"/>
        <v>141</v>
      </c>
      <c r="H190" s="25" t="s">
        <v>289</v>
      </c>
      <c r="I190" s="25" t="s">
        <v>290</v>
      </c>
      <c r="J190" s="25">
        <v>385</v>
      </c>
      <c r="L190" s="239">
        <f t="shared" si="11"/>
        <v>141</v>
      </c>
      <c r="M190" t="s">
        <v>463</v>
      </c>
      <c r="N190" t="s">
        <v>464</v>
      </c>
      <c r="O190">
        <v>372</v>
      </c>
    </row>
    <row r="191" spans="2:15">
      <c r="B191" s="239">
        <f t="shared" si="9"/>
        <v>142</v>
      </c>
      <c r="C191" s="29" t="s">
        <v>264</v>
      </c>
      <c r="D191" s="29" t="s">
        <v>265</v>
      </c>
      <c r="E191" s="29">
        <v>394</v>
      </c>
      <c r="G191" s="239">
        <f t="shared" si="10"/>
        <v>142</v>
      </c>
      <c r="H191" s="17" t="s">
        <v>479</v>
      </c>
      <c r="I191" s="17" t="s">
        <v>480</v>
      </c>
      <c r="J191" s="17">
        <v>391</v>
      </c>
      <c r="L191" s="239">
        <f t="shared" si="11"/>
        <v>142</v>
      </c>
      <c r="M191" t="s">
        <v>297</v>
      </c>
      <c r="N191" t="s">
        <v>298</v>
      </c>
      <c r="O191">
        <v>373</v>
      </c>
    </row>
    <row r="192" spans="2:15">
      <c r="B192" s="239">
        <f t="shared" si="9"/>
        <v>143</v>
      </c>
      <c r="C192" s="29" t="s">
        <v>299</v>
      </c>
      <c r="D192" s="29" t="s">
        <v>300</v>
      </c>
      <c r="E192" s="29">
        <v>397</v>
      </c>
      <c r="G192" s="239">
        <f t="shared" si="10"/>
        <v>143</v>
      </c>
      <c r="H192" s="17" t="s">
        <v>282</v>
      </c>
      <c r="I192" s="17" t="s">
        <v>283</v>
      </c>
      <c r="J192" s="17">
        <v>396</v>
      </c>
      <c r="L192" s="239">
        <f t="shared" si="11"/>
        <v>143</v>
      </c>
      <c r="M192" t="s">
        <v>258</v>
      </c>
      <c r="N192" t="s">
        <v>259</v>
      </c>
      <c r="O192">
        <v>377</v>
      </c>
    </row>
    <row r="193" spans="2:15">
      <c r="B193" s="239">
        <f t="shared" si="9"/>
        <v>144</v>
      </c>
      <c r="C193" s="29" t="s">
        <v>295</v>
      </c>
      <c r="D193" s="29" t="s">
        <v>296</v>
      </c>
      <c r="E193" s="29">
        <v>400</v>
      </c>
      <c r="G193" s="239">
        <f t="shared" si="10"/>
        <v>144</v>
      </c>
      <c r="H193" s="17" t="s">
        <v>288</v>
      </c>
      <c r="I193" s="17" t="s">
        <v>279</v>
      </c>
      <c r="J193" s="17">
        <v>397</v>
      </c>
      <c r="L193" s="239">
        <f t="shared" si="11"/>
        <v>144</v>
      </c>
      <c r="M193" t="s">
        <v>302</v>
      </c>
      <c r="N193" t="s">
        <v>303</v>
      </c>
      <c r="O193">
        <v>379</v>
      </c>
    </row>
    <row r="194" spans="2:15">
      <c r="B194" s="239">
        <f t="shared" si="9"/>
        <v>145</v>
      </c>
      <c r="C194" s="29" t="s">
        <v>304</v>
      </c>
      <c r="D194" s="29" t="s">
        <v>305</v>
      </c>
      <c r="E194" s="29">
        <v>401</v>
      </c>
      <c r="G194" s="239">
        <f t="shared" si="10"/>
        <v>145</v>
      </c>
      <c r="H194" s="17" t="s">
        <v>299</v>
      </c>
      <c r="I194" s="17" t="s">
        <v>300</v>
      </c>
      <c r="J194" s="17">
        <v>398</v>
      </c>
      <c r="L194" s="239">
        <f t="shared" si="11"/>
        <v>145</v>
      </c>
      <c r="M194" t="s">
        <v>284</v>
      </c>
      <c r="N194" t="s">
        <v>285</v>
      </c>
      <c r="O194">
        <v>379</v>
      </c>
    </row>
    <row r="195" spans="2:15">
      <c r="B195" s="239">
        <f t="shared" si="9"/>
        <v>146</v>
      </c>
      <c r="C195" s="29" t="s">
        <v>291</v>
      </c>
      <c r="D195" s="29" t="s">
        <v>301</v>
      </c>
      <c r="E195" s="29">
        <v>402</v>
      </c>
      <c r="G195" s="239">
        <f t="shared" si="10"/>
        <v>146</v>
      </c>
      <c r="H195" s="17" t="s">
        <v>297</v>
      </c>
      <c r="I195" s="17" t="s">
        <v>298</v>
      </c>
      <c r="J195" s="17">
        <v>404</v>
      </c>
      <c r="L195" s="239">
        <f t="shared" si="11"/>
        <v>146</v>
      </c>
      <c r="M195" s="17" t="s">
        <v>306</v>
      </c>
      <c r="N195" s="17" t="s">
        <v>307</v>
      </c>
      <c r="O195" s="17">
        <v>392</v>
      </c>
    </row>
    <row r="196" spans="2:15">
      <c r="B196" s="239">
        <f t="shared" si="9"/>
        <v>147</v>
      </c>
      <c r="C196" s="29" t="s">
        <v>282</v>
      </c>
      <c r="D196" s="29" t="s">
        <v>283</v>
      </c>
      <c r="E196" s="29">
        <v>409</v>
      </c>
      <c r="G196" s="239">
        <f t="shared" si="10"/>
        <v>147</v>
      </c>
      <c r="H196" s="17" t="s">
        <v>471</v>
      </c>
      <c r="I196" s="17" t="s">
        <v>472</v>
      </c>
      <c r="J196" s="17">
        <v>406</v>
      </c>
      <c r="L196" s="239">
        <f t="shared" si="11"/>
        <v>147</v>
      </c>
      <c r="M196" s="17" t="s">
        <v>295</v>
      </c>
      <c r="N196" s="17" t="s">
        <v>296</v>
      </c>
      <c r="O196" s="17">
        <v>392</v>
      </c>
    </row>
    <row r="197" spans="2:15">
      <c r="B197" s="239">
        <f t="shared" si="9"/>
        <v>148</v>
      </c>
      <c r="C197" s="29" t="s">
        <v>308</v>
      </c>
      <c r="D197" s="29" t="s">
        <v>309</v>
      </c>
      <c r="E197" s="29">
        <v>413</v>
      </c>
      <c r="G197" s="239">
        <f t="shared" si="10"/>
        <v>148</v>
      </c>
      <c r="H197" s="17" t="s">
        <v>258</v>
      </c>
      <c r="I197" s="17" t="s">
        <v>259</v>
      </c>
      <c r="J197" s="17">
        <v>407</v>
      </c>
      <c r="L197" s="239">
        <f t="shared" si="11"/>
        <v>148</v>
      </c>
      <c r="M197" s="17" t="s">
        <v>310</v>
      </c>
      <c r="N197" s="17" t="s">
        <v>311</v>
      </c>
      <c r="O197" s="17">
        <v>394</v>
      </c>
    </row>
    <row r="198" spans="2:15">
      <c r="B198" s="239">
        <f t="shared" si="9"/>
        <v>149</v>
      </c>
      <c r="C198" s="29" t="s">
        <v>297</v>
      </c>
      <c r="D198" s="29" t="s">
        <v>298</v>
      </c>
      <c r="E198" s="29">
        <v>416</v>
      </c>
      <c r="G198" s="239">
        <f t="shared" si="10"/>
        <v>149</v>
      </c>
      <c r="H198" s="17" t="s">
        <v>295</v>
      </c>
      <c r="I198" s="17" t="s">
        <v>296</v>
      </c>
      <c r="J198" s="17">
        <v>411</v>
      </c>
      <c r="L198" s="239">
        <f t="shared" si="11"/>
        <v>149</v>
      </c>
      <c r="M198" s="17" t="s">
        <v>299</v>
      </c>
      <c r="N198" s="17" t="s">
        <v>300</v>
      </c>
      <c r="O198" s="17">
        <v>395</v>
      </c>
    </row>
    <row r="199" spans="2:15">
      <c r="B199" s="239">
        <f t="shared" si="9"/>
        <v>150</v>
      </c>
      <c r="C199" s="29" t="s">
        <v>286</v>
      </c>
      <c r="D199" s="29" t="s">
        <v>287</v>
      </c>
      <c r="E199" s="29">
        <v>417</v>
      </c>
      <c r="G199" s="239">
        <f t="shared" si="10"/>
        <v>150</v>
      </c>
      <c r="H199" s="17" t="s">
        <v>312</v>
      </c>
      <c r="I199" s="17" t="s">
        <v>313</v>
      </c>
      <c r="J199" s="17">
        <v>414</v>
      </c>
      <c r="L199" s="239">
        <f t="shared" si="11"/>
        <v>150</v>
      </c>
      <c r="M199" s="17" t="s">
        <v>304</v>
      </c>
      <c r="N199" s="17" t="s">
        <v>305</v>
      </c>
      <c r="O199" s="17">
        <v>398</v>
      </c>
    </row>
    <row r="200" spans="2:15">
      <c r="B200" s="239">
        <f t="shared" si="9"/>
        <v>151</v>
      </c>
      <c r="C200" s="29" t="s">
        <v>288</v>
      </c>
      <c r="D200" s="29" t="s">
        <v>279</v>
      </c>
      <c r="E200" s="29">
        <v>419</v>
      </c>
      <c r="G200" s="239">
        <f t="shared" si="10"/>
        <v>151</v>
      </c>
      <c r="H200" s="17" t="s">
        <v>272</v>
      </c>
      <c r="I200" s="17" t="s">
        <v>273</v>
      </c>
      <c r="J200" s="17">
        <v>416</v>
      </c>
      <c r="L200" s="239">
        <f t="shared" si="11"/>
        <v>151</v>
      </c>
      <c r="M200" s="17" t="s">
        <v>312</v>
      </c>
      <c r="N200" s="17" t="s">
        <v>313</v>
      </c>
      <c r="O200" s="17">
        <v>399</v>
      </c>
    </row>
    <row r="201" spans="2:15">
      <c r="B201" s="239">
        <f t="shared" si="9"/>
        <v>152</v>
      </c>
      <c r="C201" s="29" t="s">
        <v>306</v>
      </c>
      <c r="D201" s="29" t="s">
        <v>307</v>
      </c>
      <c r="E201" s="29">
        <v>420</v>
      </c>
      <c r="G201" s="239">
        <f t="shared" si="10"/>
        <v>152</v>
      </c>
      <c r="H201" s="17" t="s">
        <v>308</v>
      </c>
      <c r="I201" s="17" t="s">
        <v>309</v>
      </c>
      <c r="J201" s="17">
        <v>416</v>
      </c>
      <c r="L201" s="239">
        <f t="shared" si="11"/>
        <v>152</v>
      </c>
      <c r="M201" s="17" t="s">
        <v>308</v>
      </c>
      <c r="N201" s="17" t="s">
        <v>309</v>
      </c>
      <c r="O201" s="17">
        <v>409</v>
      </c>
    </row>
    <row r="202" spans="2:15">
      <c r="B202" s="239">
        <f t="shared" si="9"/>
        <v>153</v>
      </c>
      <c r="C202" s="29" t="s">
        <v>310</v>
      </c>
      <c r="D202" s="29" t="s">
        <v>311</v>
      </c>
      <c r="E202" s="29">
        <v>421</v>
      </c>
      <c r="G202" s="239">
        <f t="shared" si="10"/>
        <v>153</v>
      </c>
      <c r="H202" s="17" t="s">
        <v>310</v>
      </c>
      <c r="I202" s="17" t="s">
        <v>311</v>
      </c>
      <c r="J202" s="17">
        <v>417</v>
      </c>
      <c r="L202" s="239">
        <f t="shared" si="11"/>
        <v>153</v>
      </c>
      <c r="M202" s="17" t="s">
        <v>314</v>
      </c>
      <c r="N202" s="17" t="s">
        <v>315</v>
      </c>
      <c r="O202" s="17">
        <v>411</v>
      </c>
    </row>
    <row r="203" spans="2:15">
      <c r="B203" s="239">
        <f t="shared" si="9"/>
        <v>154</v>
      </c>
      <c r="C203" s="29" t="s">
        <v>250</v>
      </c>
      <c r="D203" s="29" t="s">
        <v>251</v>
      </c>
      <c r="E203" s="29">
        <v>422</v>
      </c>
      <c r="G203" s="239">
        <f t="shared" si="10"/>
        <v>154</v>
      </c>
      <c r="H203" s="17" t="s">
        <v>276</v>
      </c>
      <c r="I203" s="17" t="s">
        <v>277</v>
      </c>
      <c r="J203" s="17">
        <v>422</v>
      </c>
      <c r="L203" s="239">
        <f t="shared" si="11"/>
        <v>154</v>
      </c>
      <c r="M203" s="17" t="s">
        <v>316</v>
      </c>
      <c r="N203" s="17" t="s">
        <v>317</v>
      </c>
      <c r="O203" s="17">
        <v>416</v>
      </c>
    </row>
    <row r="204" spans="2:15">
      <c r="B204" s="239">
        <f t="shared" si="9"/>
        <v>155</v>
      </c>
      <c r="C204" s="29" t="s">
        <v>312</v>
      </c>
      <c r="D204" s="29" t="s">
        <v>313</v>
      </c>
      <c r="E204" s="29">
        <v>422</v>
      </c>
      <c r="G204" s="239">
        <f t="shared" si="10"/>
        <v>155</v>
      </c>
      <c r="H204" s="17" t="s">
        <v>278</v>
      </c>
      <c r="I204" s="17" t="s">
        <v>320</v>
      </c>
      <c r="J204" s="17">
        <v>427</v>
      </c>
      <c r="L204" s="239">
        <f t="shared" si="11"/>
        <v>155</v>
      </c>
      <c r="M204" s="17" t="s">
        <v>293</v>
      </c>
      <c r="N204" s="17" t="s">
        <v>294</v>
      </c>
      <c r="O204" s="17">
        <v>416</v>
      </c>
    </row>
    <row r="205" spans="2:15">
      <c r="B205" s="239">
        <f t="shared" si="9"/>
        <v>156</v>
      </c>
      <c r="C205" s="29" t="s">
        <v>302</v>
      </c>
      <c r="D205" s="29" t="s">
        <v>303</v>
      </c>
      <c r="E205" s="29">
        <v>423</v>
      </c>
      <c r="G205" s="239">
        <f t="shared" si="10"/>
        <v>156</v>
      </c>
      <c r="H205" s="17" t="s">
        <v>306</v>
      </c>
      <c r="I205" s="17" t="s">
        <v>307</v>
      </c>
      <c r="J205" s="17">
        <v>439</v>
      </c>
      <c r="L205" s="239">
        <f t="shared" si="11"/>
        <v>156</v>
      </c>
      <c r="M205" s="17" t="s">
        <v>291</v>
      </c>
      <c r="N205" s="17" t="s">
        <v>292</v>
      </c>
      <c r="O205" s="17">
        <v>419</v>
      </c>
    </row>
    <row r="206" spans="2:15">
      <c r="B206" s="239">
        <f t="shared" si="9"/>
        <v>157</v>
      </c>
      <c r="C206" s="29" t="s">
        <v>278</v>
      </c>
      <c r="D206" s="29" t="s">
        <v>279</v>
      </c>
      <c r="E206" s="29">
        <v>425</v>
      </c>
      <c r="G206" s="239">
        <f t="shared" si="10"/>
        <v>157</v>
      </c>
      <c r="H206" s="17" t="s">
        <v>252</v>
      </c>
      <c r="I206" s="17" t="s">
        <v>253</v>
      </c>
      <c r="J206" s="17">
        <v>441</v>
      </c>
      <c r="L206" s="239">
        <f t="shared" si="11"/>
        <v>157</v>
      </c>
      <c r="M206" s="17" t="s">
        <v>286</v>
      </c>
      <c r="N206" s="17" t="s">
        <v>287</v>
      </c>
      <c r="O206" s="17">
        <v>420</v>
      </c>
    </row>
    <row r="207" spans="2:15">
      <c r="B207" s="239">
        <f t="shared" si="9"/>
        <v>158</v>
      </c>
      <c r="C207" s="29" t="s">
        <v>321</v>
      </c>
      <c r="D207" s="29" t="s">
        <v>322</v>
      </c>
      <c r="E207" s="29">
        <v>440</v>
      </c>
      <c r="G207" s="239">
        <f t="shared" si="10"/>
        <v>158</v>
      </c>
      <c r="H207" s="17" t="s">
        <v>321</v>
      </c>
      <c r="I207" s="17" t="s">
        <v>322</v>
      </c>
      <c r="J207" s="17">
        <v>443</v>
      </c>
      <c r="L207" s="239">
        <f t="shared" si="11"/>
        <v>158</v>
      </c>
      <c r="M207" s="17" t="s">
        <v>272</v>
      </c>
      <c r="N207" s="17" t="s">
        <v>273</v>
      </c>
      <c r="O207" s="17">
        <v>423</v>
      </c>
    </row>
    <row r="208" spans="2:15">
      <c r="B208" s="239">
        <f t="shared" si="9"/>
        <v>159</v>
      </c>
      <c r="C208" s="29" t="s">
        <v>293</v>
      </c>
      <c r="D208" s="29" t="s">
        <v>294</v>
      </c>
      <c r="E208" s="29">
        <v>443</v>
      </c>
      <c r="G208" s="239">
        <f t="shared" si="10"/>
        <v>159</v>
      </c>
      <c r="H208" s="17" t="s">
        <v>250</v>
      </c>
      <c r="I208" s="17" t="s">
        <v>251</v>
      </c>
      <c r="J208" s="17">
        <v>444</v>
      </c>
      <c r="L208" s="239">
        <f t="shared" si="11"/>
        <v>159</v>
      </c>
      <c r="M208" s="17" t="s">
        <v>505</v>
      </c>
      <c r="N208" s="17" t="s">
        <v>506</v>
      </c>
      <c r="O208" s="17">
        <v>428</v>
      </c>
    </row>
    <row r="209" spans="2:15">
      <c r="B209" s="239">
        <f t="shared" si="9"/>
        <v>160</v>
      </c>
      <c r="C209" s="29" t="s">
        <v>318</v>
      </c>
      <c r="D209" s="29" t="s">
        <v>319</v>
      </c>
      <c r="E209" s="29">
        <v>447</v>
      </c>
      <c r="G209" s="239">
        <f t="shared" si="10"/>
        <v>160</v>
      </c>
      <c r="H209" s="17" t="s">
        <v>316</v>
      </c>
      <c r="I209" s="17" t="s">
        <v>317</v>
      </c>
      <c r="J209" s="17">
        <v>450</v>
      </c>
      <c r="L209" s="239">
        <f t="shared" si="11"/>
        <v>160</v>
      </c>
      <c r="M209" s="15" t="s">
        <v>321</v>
      </c>
      <c r="N209" s="15" t="s">
        <v>322</v>
      </c>
      <c r="O209" s="15">
        <v>429</v>
      </c>
    </row>
    <row r="210" spans="2:15">
      <c r="B210" s="239">
        <f t="shared" si="9"/>
        <v>161</v>
      </c>
      <c r="C210" s="29" t="s">
        <v>316</v>
      </c>
      <c r="D210" s="29" t="s">
        <v>317</v>
      </c>
      <c r="E210" s="29">
        <v>463</v>
      </c>
      <c r="G210" s="239">
        <f t="shared" si="10"/>
        <v>161</v>
      </c>
      <c r="H210" s="17" t="s">
        <v>314</v>
      </c>
      <c r="I210" s="17" t="s">
        <v>315</v>
      </c>
      <c r="J210" s="17">
        <v>453</v>
      </c>
      <c r="L210" s="239">
        <f t="shared" si="11"/>
        <v>161</v>
      </c>
      <c r="M210" s="17" t="s">
        <v>268</v>
      </c>
      <c r="N210" s="17" t="s">
        <v>269</v>
      </c>
      <c r="O210" s="17">
        <v>431</v>
      </c>
    </row>
    <row r="211" spans="2:15">
      <c r="B211" s="239">
        <f t="shared" si="9"/>
        <v>162</v>
      </c>
      <c r="C211" s="29" t="s">
        <v>314</v>
      </c>
      <c r="D211" s="29" t="s">
        <v>315</v>
      </c>
      <c r="E211" s="29">
        <v>472</v>
      </c>
      <c r="G211" s="239">
        <f t="shared" si="10"/>
        <v>162</v>
      </c>
      <c r="H211" s="17" t="s">
        <v>304</v>
      </c>
      <c r="I211" s="17" t="s">
        <v>305</v>
      </c>
      <c r="J211" s="17">
        <v>465</v>
      </c>
      <c r="L211" s="239">
        <f t="shared" si="11"/>
        <v>162</v>
      </c>
      <c r="M211" s="17" t="s">
        <v>318</v>
      </c>
      <c r="N211" s="17" t="s">
        <v>319</v>
      </c>
      <c r="O211" s="17">
        <v>467</v>
      </c>
    </row>
    <row r="212" spans="2:15">
      <c r="B212" s="239">
        <f t="shared" si="9"/>
        <v>163</v>
      </c>
      <c r="C212" s="29" t="s">
        <v>268</v>
      </c>
      <c r="D212" s="29" t="s">
        <v>269</v>
      </c>
      <c r="E212" s="29">
        <v>480</v>
      </c>
      <c r="G212" s="239">
        <f t="shared" si="10"/>
        <v>163</v>
      </c>
      <c r="H212" s="17" t="s">
        <v>323</v>
      </c>
      <c r="I212" s="17" t="s">
        <v>324</v>
      </c>
      <c r="J212" s="17">
        <v>466</v>
      </c>
      <c r="L212" s="239">
        <f t="shared" si="11"/>
        <v>163</v>
      </c>
      <c r="M212" s="17" t="s">
        <v>278</v>
      </c>
      <c r="N212" s="17" t="s">
        <v>320</v>
      </c>
      <c r="O212" s="17">
        <v>467</v>
      </c>
    </row>
    <row r="213" spans="2:15">
      <c r="B213" s="239"/>
      <c r="C213" s="13"/>
      <c r="D213" s="13"/>
      <c r="E213" s="13"/>
      <c r="G213" s="239">
        <f t="shared" si="10"/>
        <v>164</v>
      </c>
      <c r="H213" s="17" t="s">
        <v>325</v>
      </c>
      <c r="I213" s="17" t="s">
        <v>326</v>
      </c>
      <c r="J213" s="17">
        <v>471</v>
      </c>
      <c r="L213" s="239"/>
    </row>
    <row r="214" spans="2:15">
      <c r="B214" s="239"/>
      <c r="C214" s="13"/>
      <c r="D214" s="13"/>
      <c r="E214" s="13"/>
      <c r="G214" s="239">
        <f t="shared" si="10"/>
        <v>165</v>
      </c>
      <c r="H214" s="17" t="s">
        <v>327</v>
      </c>
      <c r="I214" s="17" t="s">
        <v>328</v>
      </c>
      <c r="J214" s="17">
        <v>472</v>
      </c>
      <c r="L214" s="239"/>
    </row>
    <row r="215" spans="2:15">
      <c r="B215" s="239"/>
      <c r="C215" s="13"/>
      <c r="D215" s="13"/>
      <c r="E215" s="13"/>
      <c r="G215" s="239">
        <f t="shared" si="10"/>
        <v>166</v>
      </c>
      <c r="H215" s="17" t="s">
        <v>329</v>
      </c>
      <c r="I215" s="17" t="s">
        <v>330</v>
      </c>
      <c r="J215" s="17">
        <v>477</v>
      </c>
      <c r="L215" s="239"/>
    </row>
    <row r="216" spans="2:15">
      <c r="B216" s="239"/>
      <c r="C216" s="13"/>
      <c r="D216" s="13"/>
      <c r="E216" s="13"/>
      <c r="G216" s="239">
        <f t="shared" si="10"/>
        <v>167</v>
      </c>
      <c r="H216" s="17" t="s">
        <v>318</v>
      </c>
      <c r="I216" s="17" t="s">
        <v>319</v>
      </c>
      <c r="J216" s="17">
        <v>485</v>
      </c>
      <c r="L216" s="239"/>
    </row>
    <row r="217" spans="2:15">
      <c r="E217"/>
    </row>
    <row r="218" spans="2:15">
      <c r="E218"/>
    </row>
    <row r="219" spans="2:15">
      <c r="D219" s="27" t="s">
        <v>567</v>
      </c>
      <c r="E219" s="30">
        <v>246</v>
      </c>
      <c r="I219" s="27" t="s">
        <v>567</v>
      </c>
      <c r="J219" s="30">
        <f>AVERAGE(J50:J216)</f>
        <v>252</v>
      </c>
      <c r="K219" s="238"/>
      <c r="N219" s="27" t="s">
        <v>567</v>
      </c>
      <c r="O219" s="30">
        <f>AVERAGE(O50:O212)</f>
        <v>246</v>
      </c>
    </row>
    <row r="220" spans="2:15">
      <c r="D220" t="s">
        <v>331</v>
      </c>
      <c r="E220" s="31">
        <v>111.3641563010378</v>
      </c>
      <c r="I220" t="s">
        <v>331</v>
      </c>
      <c r="J220" s="31">
        <f>STDEV(J50:J216)</f>
        <v>115.35038293553036</v>
      </c>
      <c r="K220" s="238"/>
      <c r="N220" t="s">
        <v>331</v>
      </c>
      <c r="O220" s="31">
        <f>STDEV(O50:O212)</f>
        <v>104.43368738931129</v>
      </c>
    </row>
    <row r="221" spans="2:15">
      <c r="D221" s="3" t="s">
        <v>92</v>
      </c>
      <c r="E221" s="32">
        <v>134.63584369896222</v>
      </c>
      <c r="I221" s="3" t="s">
        <v>92</v>
      </c>
      <c r="J221" s="32">
        <f>J219-J220</f>
        <v>136.64961706446962</v>
      </c>
      <c r="K221" s="238"/>
      <c r="N221" s="3" t="s">
        <v>92</v>
      </c>
      <c r="O221" s="32">
        <f>O219-O220</f>
        <v>141.56631261068873</v>
      </c>
    </row>
    <row r="222" spans="2:15">
      <c r="D222" s="14" t="s">
        <v>93</v>
      </c>
      <c r="E222" s="33">
        <v>380.63584369896222</v>
      </c>
      <c r="I222" s="14" t="s">
        <v>93</v>
      </c>
      <c r="J222" s="33">
        <f>J219+J221</f>
        <v>388.64961706446962</v>
      </c>
      <c r="K222" s="238"/>
      <c r="N222" s="14" t="s">
        <v>93</v>
      </c>
      <c r="O222" s="33">
        <f>O219+O221</f>
        <v>387.56631261068873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F241"/>
  <sheetViews>
    <sheetView workbookViewId="0">
      <pane xSplit="9900" ySplit="5020" topLeftCell="R181"/>
      <selection activeCell="E14" sqref="E14"/>
      <selection pane="topRight" activeCell="F26" sqref="F26"/>
      <selection pane="bottomLeft" activeCell="F189" sqref="F189"/>
      <selection pane="bottomRight" activeCell="G193" sqref="G193:I197"/>
    </sheetView>
  </sheetViews>
  <sheetFormatPr baseColWidth="10" defaultColWidth="8.83203125" defaultRowHeight="14" x14ac:dyDescent="0"/>
  <cols>
    <col min="1" max="1" width="16" customWidth="1"/>
    <col min="2" max="2" width="11" customWidth="1"/>
    <col min="3" max="3" width="10.5" customWidth="1"/>
    <col min="4" max="4" width="22.1640625" customWidth="1"/>
    <col min="5" max="5" width="17.33203125" customWidth="1"/>
    <col min="6" max="6" width="19.83203125" customWidth="1"/>
    <col min="11" max="11" width="24" style="20" customWidth="1"/>
    <col min="12" max="13" width="8.83203125" style="20"/>
    <col min="14" max="14" width="18.5" style="20" customWidth="1"/>
    <col min="15" max="15" width="24.83203125" style="324" customWidth="1"/>
    <col min="16" max="16" width="27.33203125" style="20" customWidth="1"/>
    <col min="17" max="17" width="17.1640625" style="20" customWidth="1"/>
    <col min="18" max="18" width="17.5" style="324" customWidth="1"/>
    <col min="19" max="19" width="14" style="20" customWidth="1"/>
    <col min="20" max="20" width="18.83203125" style="20" customWidth="1"/>
    <col min="21" max="21" width="13.83203125" style="20" customWidth="1"/>
    <col min="22" max="22" width="8.83203125" style="20"/>
    <col min="23" max="23" width="18.1640625" style="324" customWidth="1"/>
    <col min="24" max="24" width="12.33203125" style="232" customWidth="1"/>
    <col min="25" max="25" width="8.83203125" style="20"/>
    <col min="26" max="44" width="8.83203125" style="25"/>
  </cols>
  <sheetData>
    <row r="1" spans="1:44">
      <c r="A1" s="247" t="s">
        <v>100</v>
      </c>
      <c r="B1" t="s">
        <v>71</v>
      </c>
      <c r="C1" s="250" t="s">
        <v>89</v>
      </c>
      <c r="D1" s="250" t="s">
        <v>88</v>
      </c>
      <c r="E1" s="251" t="s">
        <v>101</v>
      </c>
      <c r="F1" s="251" t="s">
        <v>102</v>
      </c>
      <c r="G1" t="s">
        <v>103</v>
      </c>
      <c r="H1" t="s">
        <v>104</v>
      </c>
      <c r="I1" t="s">
        <v>105</v>
      </c>
      <c r="J1" t="s">
        <v>51</v>
      </c>
      <c r="K1" s="266" t="s">
        <v>348</v>
      </c>
      <c r="L1" s="267" t="s">
        <v>187</v>
      </c>
      <c r="M1" s="268" t="s">
        <v>188</v>
      </c>
      <c r="N1" s="269" t="s">
        <v>189</v>
      </c>
      <c r="O1" s="328" t="s">
        <v>53</v>
      </c>
      <c r="P1" s="268" t="s">
        <v>207</v>
      </c>
      <c r="Q1" s="271" t="s">
        <v>214</v>
      </c>
      <c r="R1" s="328" t="s">
        <v>54</v>
      </c>
      <c r="S1" s="272" t="s">
        <v>217</v>
      </c>
      <c r="T1" s="273" t="s">
        <v>198</v>
      </c>
      <c r="U1" s="274" t="s">
        <v>224</v>
      </c>
      <c r="V1" s="275" t="s">
        <v>225</v>
      </c>
      <c r="W1" s="328" t="s">
        <v>55</v>
      </c>
      <c r="X1" s="330" t="s">
        <v>90</v>
      </c>
      <c r="Y1" s="276" t="s">
        <v>57</v>
      </c>
    </row>
    <row r="2" spans="1:44" s="281" customFormat="1">
      <c r="A2" s="281">
        <v>4</v>
      </c>
      <c r="B2" s="281">
        <v>0</v>
      </c>
      <c r="C2" s="282" t="s">
        <v>565</v>
      </c>
      <c r="D2" s="282" t="s">
        <v>564</v>
      </c>
      <c r="E2" s="282" t="s">
        <v>111</v>
      </c>
      <c r="F2" s="282" t="s">
        <v>112</v>
      </c>
      <c r="G2" s="355">
        <v>1</v>
      </c>
      <c r="H2" s="355">
        <v>2</v>
      </c>
      <c r="I2" s="281">
        <v>0</v>
      </c>
      <c r="J2" s="281">
        <v>1</v>
      </c>
      <c r="K2" s="283">
        <v>7.6840000799086621</v>
      </c>
      <c r="L2" s="283">
        <v>3.5634920634920633</v>
      </c>
      <c r="M2" s="283">
        <v>4.3780902550686722</v>
      </c>
      <c r="N2" s="283">
        <v>6.0310217796135532</v>
      </c>
      <c r="O2" s="307">
        <v>26</v>
      </c>
      <c r="P2" s="283">
        <v>7.8138565138565141</v>
      </c>
      <c r="Q2" s="283">
        <v>1</v>
      </c>
      <c r="R2" s="307">
        <v>27</v>
      </c>
      <c r="S2" s="283">
        <v>1.7590331220089144</v>
      </c>
      <c r="T2" s="283">
        <v>3.7066487126161998</v>
      </c>
      <c r="U2" s="283">
        <v>6.5396825396825404</v>
      </c>
      <c r="V2" s="283">
        <v>5.7142857142857135</v>
      </c>
      <c r="W2" s="307">
        <v>28</v>
      </c>
      <c r="X2" s="309">
        <v>81</v>
      </c>
      <c r="Y2" s="283">
        <f t="shared" ref="Y2:Y33" si="0">(((AVERAGE(K2:N2)+AVERAGE(Q2+AVERAGE(S2:V2)))))</f>
        <v>10.84406356666908</v>
      </c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</row>
    <row r="3" spans="1:44" s="281" customFormat="1">
      <c r="A3" s="281">
        <v>9</v>
      </c>
      <c r="B3" s="281">
        <v>0</v>
      </c>
      <c r="C3" s="282" t="s">
        <v>525</v>
      </c>
      <c r="D3" s="282" t="s">
        <v>524</v>
      </c>
      <c r="E3" s="282" t="s">
        <v>119</v>
      </c>
      <c r="F3" s="282" t="s">
        <v>120</v>
      </c>
      <c r="G3" s="355">
        <v>1</v>
      </c>
      <c r="H3" s="355">
        <v>2</v>
      </c>
      <c r="I3" s="281">
        <v>1</v>
      </c>
      <c r="J3" s="281">
        <v>1</v>
      </c>
      <c r="K3" s="283">
        <v>7.895571547364673</v>
      </c>
      <c r="L3" s="283">
        <v>8.7692176870748284</v>
      </c>
      <c r="M3" s="283">
        <v>2.9171353826030084</v>
      </c>
      <c r="N3" s="283">
        <v>7.5830156945721274</v>
      </c>
      <c r="O3" s="307">
        <v>15</v>
      </c>
      <c r="P3" s="283">
        <v>5.9305361305361313</v>
      </c>
      <c r="Q3" s="283">
        <v>9.6341463414634152</v>
      </c>
      <c r="R3" s="307">
        <v>20</v>
      </c>
      <c r="S3" s="283">
        <v>3.4923709449417912</v>
      </c>
      <c r="T3" s="283">
        <v>6.4668090334275128</v>
      </c>
      <c r="U3" s="283">
        <v>8.7607042817126857</v>
      </c>
      <c r="V3" s="283">
        <v>9.591836734693878</v>
      </c>
      <c r="W3" s="307">
        <v>6</v>
      </c>
      <c r="X3" s="309">
        <v>41</v>
      </c>
      <c r="Y3" s="283">
        <f t="shared" si="0"/>
        <v>23.503311668061038</v>
      </c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</row>
    <row r="4" spans="1:44" s="281" customFormat="1">
      <c r="A4" s="281">
        <v>10</v>
      </c>
      <c r="B4" s="281">
        <v>0</v>
      </c>
      <c r="C4" s="282" t="s">
        <v>535</v>
      </c>
      <c r="D4" s="282" t="s">
        <v>534</v>
      </c>
      <c r="E4" s="282" t="s">
        <v>111</v>
      </c>
      <c r="F4" s="282" t="s">
        <v>112</v>
      </c>
      <c r="G4" s="355">
        <v>1</v>
      </c>
      <c r="H4" s="355">
        <v>2</v>
      </c>
      <c r="I4" s="281">
        <v>1</v>
      </c>
      <c r="J4" s="281">
        <v>1</v>
      </c>
      <c r="K4" s="283">
        <v>8.5613706738453939</v>
      </c>
      <c r="L4" s="283">
        <v>8.2599017384731663</v>
      </c>
      <c r="M4" s="283">
        <v>6.1092707652060172</v>
      </c>
      <c r="N4" s="283">
        <v>6.0600988254851398</v>
      </c>
      <c r="O4" s="307">
        <v>7</v>
      </c>
      <c r="P4" s="283">
        <v>7.7082880082880081</v>
      </c>
      <c r="Q4" s="283">
        <v>8.484320557491289</v>
      </c>
      <c r="R4" s="307">
        <v>12</v>
      </c>
      <c r="S4" s="283">
        <v>4.1098607736691699</v>
      </c>
      <c r="T4" s="283">
        <v>6.1237413724278085</v>
      </c>
      <c r="U4" s="283">
        <v>7.9417989417989423</v>
      </c>
      <c r="V4" s="283">
        <v>7.7551020408163271</v>
      </c>
      <c r="W4" s="308">
        <v>14</v>
      </c>
      <c r="X4" s="309">
        <v>33</v>
      </c>
      <c r="Y4" s="283">
        <f t="shared" si="0"/>
        <v>22.21460684042178</v>
      </c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</row>
    <row r="5" spans="1:44" s="281" customFormat="1">
      <c r="A5" s="281">
        <v>13</v>
      </c>
      <c r="B5" s="281">
        <v>0</v>
      </c>
      <c r="C5" s="282" t="s">
        <v>553</v>
      </c>
      <c r="D5" s="282" t="s">
        <v>552</v>
      </c>
      <c r="E5" s="282" t="s">
        <v>111</v>
      </c>
      <c r="F5" s="282" t="s">
        <v>112</v>
      </c>
      <c r="G5" s="355">
        <v>1</v>
      </c>
      <c r="H5" s="355">
        <v>2</v>
      </c>
      <c r="I5" s="281">
        <v>1</v>
      </c>
      <c r="J5" s="281">
        <v>1</v>
      </c>
      <c r="K5" s="283">
        <v>7.2232755922378642</v>
      </c>
      <c r="L5" s="283">
        <v>7.8833333333333329</v>
      </c>
      <c r="M5" s="283">
        <v>5.5999182472204048</v>
      </c>
      <c r="N5" s="283">
        <v>5.9718242631812624</v>
      </c>
      <c r="O5" s="307">
        <v>18</v>
      </c>
      <c r="P5" s="283">
        <v>7.7786713286713294</v>
      </c>
      <c r="Q5" s="283">
        <v>8.3275261324041807</v>
      </c>
      <c r="R5" s="308">
        <v>14</v>
      </c>
      <c r="S5" s="283">
        <v>4.2355495488959827</v>
      </c>
      <c r="T5" s="283">
        <v>5.1100400596887514</v>
      </c>
      <c r="U5" s="283">
        <v>7.0476190476190474</v>
      </c>
      <c r="V5" s="283">
        <v>6.1904761904761898</v>
      </c>
      <c r="W5" s="307">
        <v>23</v>
      </c>
      <c r="X5" s="309">
        <v>55</v>
      </c>
      <c r="Y5" s="283">
        <f t="shared" si="0"/>
        <v>20.643035203067392</v>
      </c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</row>
    <row r="6" spans="1:44" s="281" customFormat="1">
      <c r="A6" s="281">
        <v>30</v>
      </c>
      <c r="B6" s="281">
        <v>0</v>
      </c>
      <c r="C6" s="282" t="s">
        <v>541</v>
      </c>
      <c r="D6" s="282" t="s">
        <v>540</v>
      </c>
      <c r="E6" s="282" t="s">
        <v>127</v>
      </c>
      <c r="F6" s="282" t="s">
        <v>127</v>
      </c>
      <c r="G6" s="355">
        <v>1</v>
      </c>
      <c r="H6" s="355">
        <v>2</v>
      </c>
      <c r="I6" s="281">
        <v>1</v>
      </c>
      <c r="J6" s="281">
        <v>1</v>
      </c>
      <c r="K6" s="283">
        <v>7.7357927429223707</v>
      </c>
      <c r="L6" s="283">
        <v>8.9223639455782315</v>
      </c>
      <c r="M6" s="283">
        <v>3.4029921517331587</v>
      </c>
      <c r="N6" s="283">
        <v>8.0730935308555409</v>
      </c>
      <c r="O6" s="307">
        <v>11</v>
      </c>
      <c r="P6" s="283">
        <v>7.6842268842268844</v>
      </c>
      <c r="Q6" s="283">
        <v>9.4041811846689907</v>
      </c>
      <c r="R6" s="308">
        <v>4</v>
      </c>
      <c r="S6" s="283">
        <v>3.6265567488200827</v>
      </c>
      <c r="T6" s="283">
        <v>6.1009935596833751</v>
      </c>
      <c r="U6" s="283">
        <v>7.336034413765506</v>
      </c>
      <c r="V6" s="283">
        <v>9.6938775510204085</v>
      </c>
      <c r="W6" s="307">
        <v>9</v>
      </c>
      <c r="X6" s="309">
        <v>24</v>
      </c>
      <c r="Y6" s="283">
        <f t="shared" si="0"/>
        <v>23.127107345763658</v>
      </c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</row>
    <row r="7" spans="1:44" s="281" customFormat="1">
      <c r="A7" s="281">
        <v>31</v>
      </c>
      <c r="B7" s="281">
        <v>0</v>
      </c>
      <c r="C7" s="282" t="s">
        <v>511</v>
      </c>
      <c r="D7" s="282" t="s">
        <v>510</v>
      </c>
      <c r="E7" s="282" t="s">
        <v>111</v>
      </c>
      <c r="F7" s="282" t="s">
        <v>112</v>
      </c>
      <c r="G7" s="355">
        <v>1</v>
      </c>
      <c r="H7" s="355">
        <v>2</v>
      </c>
      <c r="I7" s="281">
        <v>1</v>
      </c>
      <c r="J7" s="281">
        <v>1</v>
      </c>
      <c r="K7" s="283">
        <v>9.1511529943359786</v>
      </c>
      <c r="L7" s="283">
        <v>8.85</v>
      </c>
      <c r="M7" s="283">
        <v>5.4873937213865274</v>
      </c>
      <c r="N7" s="283">
        <v>6.4793823834801927</v>
      </c>
      <c r="O7" s="307">
        <v>2</v>
      </c>
      <c r="P7" s="283">
        <v>7.871212121212122</v>
      </c>
      <c r="Q7" s="283">
        <v>9.4773519163763069</v>
      </c>
      <c r="R7" s="307">
        <v>3</v>
      </c>
      <c r="S7" s="283">
        <v>4.2749056440126632</v>
      </c>
      <c r="T7" s="283">
        <v>6.3072203129029329</v>
      </c>
      <c r="U7" s="283">
        <v>8.6613756613756632</v>
      </c>
      <c r="V7" s="283">
        <v>8.8571428571428577</v>
      </c>
      <c r="W7" s="307">
        <v>7</v>
      </c>
      <c r="X7" s="309">
        <v>12</v>
      </c>
      <c r="Y7" s="283">
        <f t="shared" si="0"/>
        <v>23.994495310035511</v>
      </c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</row>
    <row r="8" spans="1:44" s="281" customFormat="1">
      <c r="A8" s="281">
        <v>43</v>
      </c>
      <c r="B8" s="281">
        <v>0</v>
      </c>
      <c r="C8" s="282" t="s">
        <v>555</v>
      </c>
      <c r="D8" s="282" t="s">
        <v>554</v>
      </c>
      <c r="E8" s="282" t="s">
        <v>111</v>
      </c>
      <c r="F8" s="282" t="s">
        <v>110</v>
      </c>
      <c r="G8" s="355">
        <v>1</v>
      </c>
      <c r="H8" s="355">
        <v>2</v>
      </c>
      <c r="I8" s="281">
        <v>0</v>
      </c>
      <c r="J8" s="281">
        <v>1</v>
      </c>
      <c r="K8" s="283">
        <v>7.4782974736746706</v>
      </c>
      <c r="L8" s="283">
        <v>7.0785714285714292</v>
      </c>
      <c r="M8" s="283">
        <v>3.7660235448005235</v>
      </c>
      <c r="N8" s="283">
        <v>6.3131309185346272</v>
      </c>
      <c r="O8" s="307">
        <v>25</v>
      </c>
      <c r="P8" s="283">
        <v>7.8101269101269102</v>
      </c>
      <c r="Q8" s="283">
        <v>8.4111498257839727</v>
      </c>
      <c r="R8" s="308">
        <v>11</v>
      </c>
      <c r="S8" s="283">
        <v>3.5823512702853884</v>
      </c>
      <c r="T8" s="283">
        <v>4.8830485147846918</v>
      </c>
      <c r="U8" s="283">
        <v>7.5</v>
      </c>
      <c r="V8" s="283">
        <v>7.8571428571428568</v>
      </c>
      <c r="W8" s="308">
        <v>21</v>
      </c>
      <c r="X8" s="309">
        <v>57</v>
      </c>
      <c r="Y8" s="283">
        <f t="shared" si="0"/>
        <v>20.52579132773252</v>
      </c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</row>
    <row r="9" spans="1:44" s="281" customFormat="1">
      <c r="A9" s="281">
        <v>45</v>
      </c>
      <c r="B9" s="281">
        <v>0</v>
      </c>
      <c r="C9" s="282" t="s">
        <v>523</v>
      </c>
      <c r="D9" s="282" t="s">
        <v>522</v>
      </c>
      <c r="E9" s="282" t="s">
        <v>111</v>
      </c>
      <c r="F9" s="282" t="s">
        <v>112</v>
      </c>
      <c r="G9" s="355">
        <v>1</v>
      </c>
      <c r="H9" s="355">
        <v>2</v>
      </c>
      <c r="I9" s="281">
        <v>1</v>
      </c>
      <c r="J9" s="281">
        <v>1</v>
      </c>
      <c r="K9" s="283">
        <v>7.9285363707810266</v>
      </c>
      <c r="L9" s="283">
        <v>8.4115384615384627</v>
      </c>
      <c r="M9" s="283">
        <v>6.059777632439503</v>
      </c>
      <c r="N9" s="283">
        <v>6.1875315178460113</v>
      </c>
      <c r="O9" s="307">
        <v>9</v>
      </c>
      <c r="P9" s="283">
        <v>7.6675602175602169</v>
      </c>
      <c r="Q9" s="283">
        <v>8.4320557491289208</v>
      </c>
      <c r="R9" s="308">
        <v>15</v>
      </c>
      <c r="S9" s="283">
        <v>4.4650072592046577</v>
      </c>
      <c r="T9" s="283">
        <v>9.1364468864468869</v>
      </c>
      <c r="U9" s="283">
        <v>8.238095238095239</v>
      </c>
      <c r="V9" s="283">
        <v>8.0952380952380949</v>
      </c>
      <c r="W9" s="307">
        <v>2</v>
      </c>
      <c r="X9" s="309">
        <v>26</v>
      </c>
      <c r="Y9" s="283">
        <f t="shared" si="0"/>
        <v>23.06259861452639</v>
      </c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</row>
    <row r="10" spans="1:44" s="281" customFormat="1">
      <c r="A10" s="281">
        <v>48</v>
      </c>
      <c r="B10" s="281">
        <v>0</v>
      </c>
      <c r="C10" s="282" t="s">
        <v>537</v>
      </c>
      <c r="D10" s="282" t="s">
        <v>536</v>
      </c>
      <c r="E10" s="282" t="s">
        <v>111</v>
      </c>
      <c r="F10" s="282" t="s">
        <v>112</v>
      </c>
      <c r="G10" s="355">
        <v>1</v>
      </c>
      <c r="H10" s="355">
        <v>2</v>
      </c>
      <c r="I10" s="281">
        <v>1</v>
      </c>
      <c r="J10" s="281">
        <v>1</v>
      </c>
      <c r="K10" s="283">
        <v>8.1646682843497125</v>
      </c>
      <c r="L10" s="283">
        <v>9.15</v>
      </c>
      <c r="M10" s="283">
        <v>4.2876389797253109</v>
      </c>
      <c r="N10" s="283">
        <v>6.3806612011438055</v>
      </c>
      <c r="O10" s="307">
        <v>12</v>
      </c>
      <c r="P10" s="283">
        <v>7.928593628593628</v>
      </c>
      <c r="Q10" s="283">
        <v>9.1428571428571441</v>
      </c>
      <c r="R10" s="307">
        <v>5</v>
      </c>
      <c r="S10" s="283">
        <v>3.7328767812530033</v>
      </c>
      <c r="T10" s="283">
        <v>4.6909680465122197</v>
      </c>
      <c r="U10" s="283">
        <v>6.6428571428571432</v>
      </c>
      <c r="V10" s="283">
        <v>5.7142857142857135</v>
      </c>
      <c r="W10" s="307">
        <v>25</v>
      </c>
      <c r="X10" s="309">
        <v>42</v>
      </c>
      <c r="Y10" s="283">
        <f t="shared" si="0"/>
        <v>21.333846180388871</v>
      </c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</row>
    <row r="11" spans="1:44" s="281" customFormat="1">
      <c r="A11" s="281">
        <v>54</v>
      </c>
      <c r="B11" s="281">
        <v>0</v>
      </c>
      <c r="C11" s="282" t="s">
        <v>527</v>
      </c>
      <c r="D11" s="282" t="s">
        <v>526</v>
      </c>
      <c r="E11" s="282" t="s">
        <v>111</v>
      </c>
      <c r="F11" s="282" t="s">
        <v>112</v>
      </c>
      <c r="G11" s="355">
        <v>1</v>
      </c>
      <c r="H11" s="355">
        <v>2</v>
      </c>
      <c r="I11" s="281">
        <v>1</v>
      </c>
      <c r="J11" s="281">
        <v>1</v>
      </c>
      <c r="K11" s="283">
        <v>7.7187317975695517</v>
      </c>
      <c r="L11" s="283">
        <v>7.4022408963585429</v>
      </c>
      <c r="M11" s="283">
        <v>4.6643557880967954</v>
      </c>
      <c r="N11" s="283">
        <v>6.6939785104740519</v>
      </c>
      <c r="O11" s="307">
        <v>19</v>
      </c>
      <c r="P11" s="283">
        <v>7.8803030303030308</v>
      </c>
      <c r="Q11" s="283">
        <v>8.2752613240418125</v>
      </c>
      <c r="R11" s="307">
        <v>13</v>
      </c>
      <c r="S11" s="283">
        <v>4.0922636184931314</v>
      </c>
      <c r="T11" s="283">
        <v>8.7950924197481886</v>
      </c>
      <c r="U11" s="283">
        <v>7.6928771508603431</v>
      </c>
      <c r="V11" s="283">
        <v>8.9795918367346932</v>
      </c>
      <c r="W11" s="308">
        <v>4</v>
      </c>
      <c r="X11" s="309">
        <v>36</v>
      </c>
      <c r="Y11" s="283">
        <f t="shared" si="0"/>
        <v>22.285044328625638</v>
      </c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</row>
    <row r="12" spans="1:44" s="281" customFormat="1">
      <c r="A12" s="281">
        <v>57</v>
      </c>
      <c r="B12" s="281">
        <v>0</v>
      </c>
      <c r="C12" s="282" t="s">
        <v>519</v>
      </c>
      <c r="D12" s="282" t="s">
        <v>518</v>
      </c>
      <c r="E12" s="282" t="s">
        <v>111</v>
      </c>
      <c r="F12" s="282" t="s">
        <v>112</v>
      </c>
      <c r="G12" s="355">
        <v>1</v>
      </c>
      <c r="H12" s="355">
        <v>2</v>
      </c>
      <c r="I12" s="281">
        <v>1</v>
      </c>
      <c r="J12" s="281">
        <v>1</v>
      </c>
      <c r="K12" s="283">
        <v>8.1195906675727318</v>
      </c>
      <c r="L12" s="283">
        <v>9.1</v>
      </c>
      <c r="M12" s="283">
        <v>5.4650752125572266</v>
      </c>
      <c r="N12" s="283">
        <v>6.2544669773491197</v>
      </c>
      <c r="O12" s="307">
        <v>8</v>
      </c>
      <c r="P12" s="283">
        <v>7.7953379953379951</v>
      </c>
      <c r="Q12" s="283">
        <v>8.7142857142857153</v>
      </c>
      <c r="R12" s="307">
        <v>9</v>
      </c>
      <c r="S12" s="283">
        <v>4.1493518397236429</v>
      </c>
      <c r="T12" s="283">
        <v>5.1445921047448966</v>
      </c>
      <c r="U12" s="283">
        <v>8.1547619047619051</v>
      </c>
      <c r="V12" s="283">
        <v>8</v>
      </c>
      <c r="W12" s="308">
        <v>15</v>
      </c>
      <c r="X12" s="309">
        <v>32</v>
      </c>
      <c r="Y12" s="283">
        <f t="shared" si="0"/>
        <v>22.311245390963094</v>
      </c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</row>
    <row r="13" spans="1:44" s="281" customFormat="1">
      <c r="A13" s="281">
        <v>59</v>
      </c>
      <c r="B13" s="281">
        <v>0</v>
      </c>
      <c r="C13" s="282" t="s">
        <v>543</v>
      </c>
      <c r="D13" s="282" t="s">
        <v>542</v>
      </c>
      <c r="E13" s="282" t="s">
        <v>111</v>
      </c>
      <c r="F13" s="282" t="s">
        <v>112</v>
      </c>
      <c r="G13" s="355">
        <v>1</v>
      </c>
      <c r="H13" s="355">
        <v>2</v>
      </c>
      <c r="I13" s="281">
        <v>1</v>
      </c>
      <c r="J13" s="281">
        <v>1</v>
      </c>
      <c r="K13" s="283">
        <v>8.1888283677228877</v>
      </c>
      <c r="L13" s="283">
        <v>7.8294665234514849</v>
      </c>
      <c r="M13" s="283">
        <v>5.8809352517985616</v>
      </c>
      <c r="N13" s="283">
        <v>6.5783635704269647</v>
      </c>
      <c r="O13" s="307">
        <v>10</v>
      </c>
      <c r="P13" s="283">
        <v>5.8545584045584045</v>
      </c>
      <c r="Q13" s="283">
        <v>7.7108013937282243</v>
      </c>
      <c r="R13" s="307">
        <v>25</v>
      </c>
      <c r="S13" s="283">
        <v>5.7667761268177564</v>
      </c>
      <c r="T13" s="283">
        <v>8.4410836109109102</v>
      </c>
      <c r="U13" s="283">
        <v>8.1885069817400638</v>
      </c>
      <c r="V13" s="283">
        <v>8.5714285714285712</v>
      </c>
      <c r="W13" s="307">
        <v>1</v>
      </c>
      <c r="X13" s="309">
        <v>36</v>
      </c>
      <c r="Y13" s="283">
        <f t="shared" si="0"/>
        <v>22.572148644802525</v>
      </c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</row>
    <row r="14" spans="1:44" s="281" customFormat="1">
      <c r="A14" s="281">
        <v>62</v>
      </c>
      <c r="B14" s="281">
        <v>0</v>
      </c>
      <c r="C14" s="282" t="s">
        <v>521</v>
      </c>
      <c r="D14" s="282" t="s">
        <v>520</v>
      </c>
      <c r="E14" s="282" t="s">
        <v>111</v>
      </c>
      <c r="F14" s="282" t="s">
        <v>112</v>
      </c>
      <c r="G14" s="355">
        <v>1</v>
      </c>
      <c r="H14" s="355">
        <v>2</v>
      </c>
      <c r="I14" s="281">
        <v>1</v>
      </c>
      <c r="J14" s="281">
        <v>1</v>
      </c>
      <c r="K14" s="283">
        <v>8.1781656060179237</v>
      </c>
      <c r="L14" s="283">
        <v>8.2149659863945566</v>
      </c>
      <c r="M14" s="283">
        <v>3.7216808371484627</v>
      </c>
      <c r="N14" s="283">
        <v>6.7589497875246529</v>
      </c>
      <c r="O14" s="307">
        <v>17</v>
      </c>
      <c r="P14" s="283">
        <v>6.9563973063973066</v>
      </c>
      <c r="Q14" s="283">
        <v>8.9965156794425098</v>
      </c>
      <c r="R14" s="307">
        <v>17</v>
      </c>
      <c r="S14" s="283">
        <v>4.2418934717965717</v>
      </c>
      <c r="T14" s="283">
        <v>7.7832233613634454</v>
      </c>
      <c r="U14" s="283">
        <v>8.1479591836734695</v>
      </c>
      <c r="V14" s="283">
        <v>8.75</v>
      </c>
      <c r="W14" s="307">
        <v>5</v>
      </c>
      <c r="X14" s="309">
        <v>39</v>
      </c>
      <c r="Y14" s="283">
        <f t="shared" si="0"/>
        <v>22.945725237922279</v>
      </c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</row>
    <row r="15" spans="1:44" s="281" customFormat="1">
      <c r="A15" s="281">
        <v>69</v>
      </c>
      <c r="B15" s="281">
        <v>0</v>
      </c>
      <c r="C15" s="282" t="s">
        <v>559</v>
      </c>
      <c r="D15" s="282" t="s">
        <v>558</v>
      </c>
      <c r="E15" s="282" t="s">
        <v>111</v>
      </c>
      <c r="F15" s="282" t="s">
        <v>112</v>
      </c>
      <c r="G15" s="355">
        <v>1</v>
      </c>
      <c r="H15" s="355">
        <v>2</v>
      </c>
      <c r="I15" s="281">
        <v>1</v>
      </c>
      <c r="J15" s="281">
        <v>1</v>
      </c>
      <c r="K15" s="283">
        <v>7.2898194118821324</v>
      </c>
      <c r="L15" s="283">
        <v>5.833049886621315</v>
      </c>
      <c r="M15" s="283">
        <v>6.2016841072596467</v>
      </c>
      <c r="N15" s="283">
        <v>6.3304959434160466</v>
      </c>
      <c r="O15" s="307">
        <v>23</v>
      </c>
      <c r="P15" s="283">
        <v>7.7878269878269872</v>
      </c>
      <c r="Q15" s="283">
        <v>7.554006968641116</v>
      </c>
      <c r="R15" s="307">
        <v>23</v>
      </c>
      <c r="S15" s="283">
        <v>3.4485102673695134</v>
      </c>
      <c r="T15" s="283">
        <v>6.5692163434352677</v>
      </c>
      <c r="U15" s="283">
        <v>6.8673469387755093</v>
      </c>
      <c r="V15" s="283">
        <v>7.7551020408163271</v>
      </c>
      <c r="W15" s="307">
        <v>17</v>
      </c>
      <c r="X15" s="309">
        <v>63</v>
      </c>
      <c r="Y15" s="283">
        <f t="shared" si="0"/>
        <v>20.127813203535055</v>
      </c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</row>
    <row r="16" spans="1:44" s="281" customFormat="1">
      <c r="A16" s="281">
        <v>79</v>
      </c>
      <c r="B16" s="281">
        <v>0</v>
      </c>
      <c r="C16" s="282" t="s">
        <v>529</v>
      </c>
      <c r="D16" s="282" t="s">
        <v>528</v>
      </c>
      <c r="E16" s="282" t="s">
        <v>111</v>
      </c>
      <c r="F16" s="282" t="s">
        <v>112</v>
      </c>
      <c r="G16" s="355">
        <v>1</v>
      </c>
      <c r="H16" s="355">
        <v>2</v>
      </c>
      <c r="I16" s="281">
        <v>0</v>
      </c>
      <c r="J16" s="281">
        <v>1</v>
      </c>
      <c r="K16" s="283">
        <v>7.7797211171651011</v>
      </c>
      <c r="L16" s="283">
        <v>8.4573521716378863</v>
      </c>
      <c r="M16" s="283">
        <v>4.8158273381294965</v>
      </c>
      <c r="N16" s="283">
        <v>6.1579552129289929</v>
      </c>
      <c r="O16" s="307">
        <v>13</v>
      </c>
      <c r="P16" s="283">
        <v>8.3747215747215744</v>
      </c>
      <c r="Q16" s="283">
        <v>9.4982578397212549</v>
      </c>
      <c r="R16" s="307">
        <v>1</v>
      </c>
      <c r="S16" s="283">
        <v>3.7315128631692787</v>
      </c>
      <c r="T16" s="283">
        <v>4.9333051565399142</v>
      </c>
      <c r="U16" s="283">
        <v>7.6802721088435364</v>
      </c>
      <c r="V16" s="283">
        <v>8.3673469387755102</v>
      </c>
      <c r="W16" s="307">
        <v>16</v>
      </c>
      <c r="X16" s="309">
        <v>30</v>
      </c>
      <c r="Y16" s="283">
        <f t="shared" si="0"/>
        <v>22.479081066518685</v>
      </c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</row>
    <row r="17" spans="1:44" s="281" customFormat="1">
      <c r="A17" s="281">
        <v>82</v>
      </c>
      <c r="B17" s="281">
        <v>0</v>
      </c>
      <c r="C17" s="282" t="s">
        <v>513</v>
      </c>
      <c r="D17" s="282" t="s">
        <v>512</v>
      </c>
      <c r="E17" s="282" t="s">
        <v>111</v>
      </c>
      <c r="F17" s="282" t="s">
        <v>112</v>
      </c>
      <c r="G17" s="355">
        <v>1</v>
      </c>
      <c r="H17" s="355">
        <v>2</v>
      </c>
      <c r="I17" s="281">
        <v>1</v>
      </c>
      <c r="J17" s="281">
        <v>1</v>
      </c>
      <c r="K17" s="283">
        <v>9.4123844548581044</v>
      </c>
      <c r="L17" s="283">
        <v>8.7348484848484844</v>
      </c>
      <c r="M17" s="283">
        <v>5.9985120994113803</v>
      </c>
      <c r="N17" s="283">
        <v>7.3537401058456986</v>
      </c>
      <c r="O17" s="307">
        <v>1</v>
      </c>
      <c r="P17" s="283">
        <v>9.024462574462575</v>
      </c>
      <c r="Q17" s="283">
        <v>8.7038327526132413</v>
      </c>
      <c r="R17" s="307">
        <v>2</v>
      </c>
      <c r="S17" s="283">
        <v>4.0491804207026512</v>
      </c>
      <c r="T17" s="283">
        <v>4.5767263688840725</v>
      </c>
      <c r="U17" s="283">
        <v>8.4020562770562766</v>
      </c>
      <c r="V17" s="283">
        <v>9.2857142857142865</v>
      </c>
      <c r="W17" s="308">
        <v>13</v>
      </c>
      <c r="X17" s="309">
        <v>16</v>
      </c>
      <c r="Y17" s="283">
        <f t="shared" si="0"/>
        <v>23.157123376943481</v>
      </c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</row>
    <row r="18" spans="1:44" s="281" customFormat="1">
      <c r="A18" s="281">
        <v>84</v>
      </c>
      <c r="B18" s="281">
        <v>0</v>
      </c>
      <c r="C18" s="282" t="s">
        <v>545</v>
      </c>
      <c r="D18" s="282" t="s">
        <v>544</v>
      </c>
      <c r="E18" s="282" t="s">
        <v>111</v>
      </c>
      <c r="F18" s="282" t="s">
        <v>112</v>
      </c>
      <c r="G18" s="355">
        <v>1</v>
      </c>
      <c r="H18" s="355">
        <v>2</v>
      </c>
      <c r="I18" s="281">
        <v>1</v>
      </c>
      <c r="J18" s="281">
        <v>1</v>
      </c>
      <c r="K18" s="283">
        <v>8.0038607259025696</v>
      </c>
      <c r="L18" s="283">
        <v>6.3636904761904765</v>
      </c>
      <c r="M18" s="283">
        <v>4.785317200784827</v>
      </c>
      <c r="N18" s="283">
        <v>6.2575696348190739</v>
      </c>
      <c r="O18" s="307">
        <v>24</v>
      </c>
      <c r="P18" s="283">
        <v>7.8488992488992491</v>
      </c>
      <c r="Q18" s="283">
        <v>7.554006968641116</v>
      </c>
      <c r="R18" s="307">
        <v>22</v>
      </c>
      <c r="S18" s="283">
        <v>4.1828380143334982</v>
      </c>
      <c r="T18" s="283">
        <v>9.2827476337274391</v>
      </c>
      <c r="U18" s="283">
        <v>7.9781746031746037</v>
      </c>
      <c r="V18" s="283">
        <v>8.2857142857142847</v>
      </c>
      <c r="W18" s="307">
        <v>3</v>
      </c>
      <c r="X18" s="309">
        <v>49</v>
      </c>
      <c r="Y18" s="283">
        <f t="shared" si="0"/>
        <v>21.338985112302808</v>
      </c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</row>
    <row r="19" spans="1:44" s="281" customFormat="1">
      <c r="A19" s="281">
        <v>87</v>
      </c>
      <c r="B19" s="281">
        <v>0</v>
      </c>
      <c r="C19" s="282" t="s">
        <v>547</v>
      </c>
      <c r="D19" s="282" t="s">
        <v>546</v>
      </c>
      <c r="E19" s="282" t="s">
        <v>119</v>
      </c>
      <c r="F19" s="282" t="s">
        <v>128</v>
      </c>
      <c r="G19" s="355">
        <v>1</v>
      </c>
      <c r="H19" s="355">
        <v>2</v>
      </c>
      <c r="I19" s="281">
        <v>1</v>
      </c>
      <c r="J19" s="281">
        <v>1</v>
      </c>
      <c r="K19" s="283">
        <v>8.260760442389568</v>
      </c>
      <c r="L19" s="283">
        <v>8.3861111111111111</v>
      </c>
      <c r="M19" s="283">
        <v>6.9454545454545453</v>
      </c>
      <c r="N19" s="283">
        <v>6.2048532529369673</v>
      </c>
      <c r="O19" s="307">
        <v>3</v>
      </c>
      <c r="P19" s="283">
        <v>7.197189847189847</v>
      </c>
      <c r="Q19" s="283">
        <v>8.6202090592334493</v>
      </c>
      <c r="R19" s="307">
        <v>18</v>
      </c>
      <c r="S19" s="283">
        <v>3.6326595445224554</v>
      </c>
      <c r="T19" s="283">
        <v>6.6432392469054369</v>
      </c>
      <c r="U19" s="283">
        <v>7.57936507936508</v>
      </c>
      <c r="V19" s="283">
        <v>6.6666666666666679</v>
      </c>
      <c r="W19" s="308">
        <v>18</v>
      </c>
      <c r="X19" s="309">
        <v>39</v>
      </c>
      <c r="Y19" s="283">
        <f t="shared" si="0"/>
        <v>22.199986531571408</v>
      </c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</row>
    <row r="20" spans="1:44" s="281" customFormat="1">
      <c r="A20" s="281">
        <v>101</v>
      </c>
      <c r="B20" s="281">
        <v>0</v>
      </c>
      <c r="C20" s="282" t="s">
        <v>561</v>
      </c>
      <c r="D20" s="282" t="s">
        <v>560</v>
      </c>
      <c r="E20" s="282" t="s">
        <v>111</v>
      </c>
      <c r="F20" s="282" t="s">
        <v>112</v>
      </c>
      <c r="G20" s="355">
        <v>1</v>
      </c>
      <c r="H20" s="355">
        <v>2</v>
      </c>
      <c r="I20" s="281">
        <v>0</v>
      </c>
      <c r="J20" s="281">
        <v>1</v>
      </c>
      <c r="K20" s="283">
        <v>7.9353918933974912</v>
      </c>
      <c r="L20" s="283">
        <v>5</v>
      </c>
      <c r="M20" s="283">
        <v>1.3237410071942446</v>
      </c>
      <c r="N20" s="283">
        <v>4.2416508466715914</v>
      </c>
      <c r="O20" s="307">
        <v>28</v>
      </c>
      <c r="P20" s="283">
        <v>7.8249676249676252</v>
      </c>
      <c r="Q20" s="283">
        <v>1</v>
      </c>
      <c r="R20" s="307">
        <v>26</v>
      </c>
      <c r="S20" s="283">
        <v>3.1187394446981576</v>
      </c>
      <c r="T20" s="283">
        <v>5.881937595367587</v>
      </c>
      <c r="U20" s="283">
        <v>7.1428571428571432</v>
      </c>
      <c r="V20" s="283">
        <v>6.4285714285714288</v>
      </c>
      <c r="W20" s="308">
        <v>24</v>
      </c>
      <c r="X20" s="309">
        <v>78</v>
      </c>
      <c r="Y20" s="283">
        <f t="shared" si="0"/>
        <v>11.268222339689411</v>
      </c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</row>
    <row r="21" spans="1:44" s="281" customFormat="1">
      <c r="A21" s="281">
        <v>105</v>
      </c>
      <c r="B21" s="281">
        <v>0</v>
      </c>
      <c r="C21" s="282" t="s">
        <v>531</v>
      </c>
      <c r="D21" s="282" t="s">
        <v>530</v>
      </c>
      <c r="E21" s="282" t="s">
        <v>111</v>
      </c>
      <c r="F21" s="282" t="s">
        <v>112</v>
      </c>
      <c r="G21" s="355">
        <v>1</v>
      </c>
      <c r="H21" s="355">
        <v>2</v>
      </c>
      <c r="I21" s="281">
        <v>1</v>
      </c>
      <c r="J21" s="281">
        <v>1</v>
      </c>
      <c r="K21" s="283">
        <v>7.9102275814933538</v>
      </c>
      <c r="L21" s="283">
        <v>8.4047619047619051</v>
      </c>
      <c r="M21" s="283">
        <v>4.9827501635055587</v>
      </c>
      <c r="N21" s="283">
        <v>5.6805649344249893</v>
      </c>
      <c r="O21" s="307">
        <v>16</v>
      </c>
      <c r="P21" s="283">
        <v>7.8194120694120688</v>
      </c>
      <c r="Q21" s="283">
        <v>8.8815331010452958</v>
      </c>
      <c r="R21" s="307">
        <v>7</v>
      </c>
      <c r="S21" s="283">
        <v>3.4313155627890146</v>
      </c>
      <c r="T21" s="283">
        <v>4.7263802839058808</v>
      </c>
      <c r="U21" s="283">
        <v>6.6428571428571432</v>
      </c>
      <c r="V21" s="283">
        <v>5.7142857142857135</v>
      </c>
      <c r="W21" s="307">
        <v>26</v>
      </c>
      <c r="X21" s="309">
        <v>49</v>
      </c>
      <c r="Y21" s="283">
        <f t="shared" si="0"/>
        <v>20.754818923051186</v>
      </c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</row>
    <row r="22" spans="1:44" s="281" customFormat="1">
      <c r="A22" s="281">
        <v>108</v>
      </c>
      <c r="B22" s="281">
        <v>0</v>
      </c>
      <c r="C22" s="282" t="s">
        <v>563</v>
      </c>
      <c r="D22" s="282" t="s">
        <v>562</v>
      </c>
      <c r="E22" s="282" t="s">
        <v>111</v>
      </c>
      <c r="F22" s="282" t="s">
        <v>112</v>
      </c>
      <c r="G22" s="355"/>
      <c r="H22" s="355">
        <v>2</v>
      </c>
      <c r="I22" s="281">
        <v>0</v>
      </c>
      <c r="J22" s="281">
        <v>1</v>
      </c>
      <c r="K22" s="283">
        <v>8.3583491431663255</v>
      </c>
      <c r="L22" s="283">
        <v>3.7976190476190474</v>
      </c>
      <c r="M22" s="283">
        <v>1.3237410071942446</v>
      </c>
      <c r="N22" s="283">
        <v>5.1716277829368078</v>
      </c>
      <c r="O22" s="307">
        <v>27</v>
      </c>
      <c r="P22" s="283">
        <v>7.8083009583009577</v>
      </c>
      <c r="Q22" s="283">
        <v>1</v>
      </c>
      <c r="R22" s="307">
        <v>28</v>
      </c>
      <c r="S22" s="283">
        <v>3.9929698475252415</v>
      </c>
      <c r="T22" s="283">
        <v>3.6830817379212575</v>
      </c>
      <c r="U22" s="283">
        <v>5.666666666666667</v>
      </c>
      <c r="V22" s="283">
        <v>6.4285714285714288</v>
      </c>
      <c r="W22" s="307">
        <v>27</v>
      </c>
      <c r="X22" s="309">
        <v>82</v>
      </c>
      <c r="Y22" s="283">
        <f t="shared" si="0"/>
        <v>10.605656665400256</v>
      </c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</row>
    <row r="23" spans="1:44" s="281" customFormat="1">
      <c r="A23" s="281">
        <v>116</v>
      </c>
      <c r="B23" s="281">
        <v>0</v>
      </c>
      <c r="C23" s="282" t="s">
        <v>557</v>
      </c>
      <c r="D23" s="282" t="s">
        <v>556</v>
      </c>
      <c r="E23" s="282" t="s">
        <v>111</v>
      </c>
      <c r="F23" s="282" t="s">
        <v>112</v>
      </c>
      <c r="G23" s="355">
        <v>1</v>
      </c>
      <c r="H23" s="355">
        <v>2</v>
      </c>
      <c r="I23" s="281">
        <v>0</v>
      </c>
      <c r="J23" s="281">
        <v>1</v>
      </c>
      <c r="K23" s="283">
        <v>8.241127497303717</v>
      </c>
      <c r="L23" s="283">
        <v>6.5857142857142854</v>
      </c>
      <c r="M23" s="283">
        <v>5.8092707652060174</v>
      </c>
      <c r="N23" s="283">
        <v>5.0813221262355786</v>
      </c>
      <c r="O23" s="307">
        <v>21</v>
      </c>
      <c r="P23" s="283">
        <v>7.5287749287749293</v>
      </c>
      <c r="Q23" s="283">
        <v>8.0243902439024399</v>
      </c>
      <c r="R23" s="307">
        <v>21</v>
      </c>
      <c r="S23" s="283">
        <v>3.9133681118980692</v>
      </c>
      <c r="T23" s="283">
        <v>3.8836680851090746</v>
      </c>
      <c r="U23" s="283">
        <v>7.2380952380952381</v>
      </c>
      <c r="V23" s="283">
        <v>7.8571428571428568</v>
      </c>
      <c r="W23" s="308">
        <v>22</v>
      </c>
      <c r="X23" s="309">
        <v>64</v>
      </c>
      <c r="Y23" s="283">
        <f t="shared" si="0"/>
        <v>20.176817485578649</v>
      </c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</row>
    <row r="24" spans="1:44" s="281" customFormat="1">
      <c r="A24" s="281">
        <v>130</v>
      </c>
      <c r="B24" s="281">
        <v>0</v>
      </c>
      <c r="C24" s="282" t="s">
        <v>551</v>
      </c>
      <c r="D24" s="282" t="s">
        <v>550</v>
      </c>
      <c r="E24" s="282" t="s">
        <v>111</v>
      </c>
      <c r="F24" s="282" t="s">
        <v>112</v>
      </c>
      <c r="G24" s="355">
        <v>1</v>
      </c>
      <c r="H24" s="355">
        <v>2</v>
      </c>
      <c r="I24" s="281">
        <v>1</v>
      </c>
      <c r="J24" s="281">
        <v>1</v>
      </c>
      <c r="K24" s="283">
        <v>8.0770733485557411</v>
      </c>
      <c r="L24" s="283">
        <v>8.181746031746032</v>
      </c>
      <c r="M24" s="283">
        <v>5.226684107259647</v>
      </c>
      <c r="N24" s="283">
        <v>5.6810078515966058</v>
      </c>
      <c r="O24" s="307">
        <v>14</v>
      </c>
      <c r="P24" s="283">
        <v>7.7638176638176635</v>
      </c>
      <c r="Q24" s="283">
        <v>8.8397212543554016</v>
      </c>
      <c r="R24" s="308">
        <v>8</v>
      </c>
      <c r="S24" s="283">
        <v>4.447583351606192</v>
      </c>
      <c r="T24" s="283">
        <v>5.5876926270420748</v>
      </c>
      <c r="U24" s="283">
        <v>6.8888888888888884</v>
      </c>
      <c r="V24" s="283">
        <v>7.1428571428571432</v>
      </c>
      <c r="W24" s="307">
        <v>20</v>
      </c>
      <c r="X24" s="309">
        <v>42</v>
      </c>
      <c r="Y24" s="283">
        <f t="shared" si="0"/>
        <v>21.648104591743483</v>
      </c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</row>
    <row r="25" spans="1:44" s="281" customFormat="1">
      <c r="A25" s="281">
        <v>131</v>
      </c>
      <c r="B25" s="281">
        <v>0</v>
      </c>
      <c r="C25" s="282" t="s">
        <v>539</v>
      </c>
      <c r="D25" s="282" t="s">
        <v>538</v>
      </c>
      <c r="E25" s="282" t="s">
        <v>111</v>
      </c>
      <c r="F25" s="282" t="s">
        <v>112</v>
      </c>
      <c r="G25" s="355">
        <v>1</v>
      </c>
      <c r="H25" s="355">
        <v>2</v>
      </c>
      <c r="I25" s="281">
        <v>1</v>
      </c>
      <c r="J25" s="281">
        <v>1</v>
      </c>
      <c r="K25" s="283">
        <v>8.8368388981792272</v>
      </c>
      <c r="L25" s="283">
        <v>8.6469387755102041</v>
      </c>
      <c r="M25" s="283">
        <v>4.914862655330281</v>
      </c>
      <c r="N25" s="283">
        <v>7.302892069510353</v>
      </c>
      <c r="O25" s="307">
        <v>4</v>
      </c>
      <c r="P25" s="283">
        <v>7.7527454027454024</v>
      </c>
      <c r="Q25" s="283">
        <v>8.2543554006968645</v>
      </c>
      <c r="R25" s="307">
        <v>16</v>
      </c>
      <c r="S25" s="283">
        <v>3.8375554306717814</v>
      </c>
      <c r="T25" s="283">
        <v>5.2802818797209738</v>
      </c>
      <c r="U25" s="283">
        <v>8.1707482993197278</v>
      </c>
      <c r="V25" s="283">
        <v>9.183673469387756</v>
      </c>
      <c r="W25" s="307">
        <v>11</v>
      </c>
      <c r="X25" s="309">
        <v>31</v>
      </c>
      <c r="Y25" s="283">
        <f t="shared" si="0"/>
        <v>22.297803270104442</v>
      </c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</row>
    <row r="26" spans="1:44" s="281" customFormat="1">
      <c r="A26" s="281">
        <v>134</v>
      </c>
      <c r="B26" s="281">
        <v>0</v>
      </c>
      <c r="C26" s="282" t="s">
        <v>517</v>
      </c>
      <c r="D26" s="282" t="s">
        <v>516</v>
      </c>
      <c r="E26" s="282" t="s">
        <v>119</v>
      </c>
      <c r="F26" s="282" t="s">
        <v>120</v>
      </c>
      <c r="G26" s="355">
        <v>1</v>
      </c>
      <c r="H26" s="355">
        <v>2</v>
      </c>
      <c r="I26" s="281">
        <v>1</v>
      </c>
      <c r="J26" s="281">
        <v>1</v>
      </c>
      <c r="K26" s="283">
        <v>8.2912476596478513</v>
      </c>
      <c r="L26" s="283">
        <v>9.15</v>
      </c>
      <c r="M26" s="283">
        <v>4.4594669718770437</v>
      </c>
      <c r="N26" s="283">
        <v>7.4256015134863649</v>
      </c>
      <c r="O26" s="307">
        <v>5</v>
      </c>
      <c r="P26" s="283">
        <v>7.3953120953120957</v>
      </c>
      <c r="Q26" s="283">
        <v>9.5818815331010452</v>
      </c>
      <c r="R26" s="307">
        <v>6</v>
      </c>
      <c r="S26" s="283">
        <v>3.1983217718304431</v>
      </c>
      <c r="T26" s="283">
        <v>5.6164759005927181</v>
      </c>
      <c r="U26" s="283">
        <v>8.7976190476190457</v>
      </c>
      <c r="V26" s="283">
        <v>10</v>
      </c>
      <c r="W26" s="308">
        <v>8</v>
      </c>
      <c r="X26" s="309">
        <v>19</v>
      </c>
      <c r="Y26" s="283">
        <f t="shared" si="0"/>
        <v>23.81656474936441</v>
      </c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</row>
    <row r="27" spans="1:44" s="281" customFormat="1">
      <c r="A27" s="281">
        <v>144</v>
      </c>
      <c r="B27" s="281">
        <v>0</v>
      </c>
      <c r="C27" s="282" t="s">
        <v>549</v>
      </c>
      <c r="D27" s="282" t="s">
        <v>548</v>
      </c>
      <c r="E27" s="282" t="s">
        <v>111</v>
      </c>
      <c r="F27" s="282" t="s">
        <v>112</v>
      </c>
      <c r="G27" s="355">
        <v>1</v>
      </c>
      <c r="H27" s="355">
        <v>2</v>
      </c>
      <c r="I27" s="281">
        <v>1</v>
      </c>
      <c r="J27" s="281">
        <v>1</v>
      </c>
      <c r="K27" s="283">
        <v>7.9062015892190844</v>
      </c>
      <c r="L27" s="283">
        <v>7.3282828282828278</v>
      </c>
      <c r="M27" s="283">
        <v>4.4785480706344014</v>
      </c>
      <c r="N27" s="283">
        <v>5.9780025056785862</v>
      </c>
      <c r="O27" s="307">
        <v>22</v>
      </c>
      <c r="P27" s="283">
        <v>7.8340844340844331</v>
      </c>
      <c r="Q27" s="283">
        <v>7.7317073170731714</v>
      </c>
      <c r="R27" s="308">
        <v>19</v>
      </c>
      <c r="S27" s="283">
        <v>3.5496620098643832</v>
      </c>
      <c r="T27" s="283">
        <v>5.9784482160759511</v>
      </c>
      <c r="U27" s="283">
        <v>7.0634920634920633</v>
      </c>
      <c r="V27" s="283">
        <v>7.7142857142857144</v>
      </c>
      <c r="W27" s="307">
        <v>19</v>
      </c>
      <c r="X27" s="309">
        <v>60</v>
      </c>
      <c r="Y27" s="283">
        <f t="shared" si="0"/>
        <v>20.230938066456424</v>
      </c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</row>
    <row r="28" spans="1:44" s="281" customFormat="1">
      <c r="A28" s="281">
        <v>166</v>
      </c>
      <c r="B28" s="281">
        <v>0</v>
      </c>
      <c r="C28" s="282" t="s">
        <v>515</v>
      </c>
      <c r="D28" s="282" t="s">
        <v>514</v>
      </c>
      <c r="E28" s="282" t="s">
        <v>111</v>
      </c>
      <c r="F28" s="282" t="s">
        <v>112</v>
      </c>
      <c r="G28" s="355">
        <v>1</v>
      </c>
      <c r="H28" s="355">
        <v>2</v>
      </c>
      <c r="I28" s="281">
        <v>1</v>
      </c>
      <c r="J28" s="281">
        <v>1</v>
      </c>
      <c r="K28" s="283">
        <v>8.7058950085901987</v>
      </c>
      <c r="L28" s="283">
        <v>8.980952380952381</v>
      </c>
      <c r="M28" s="283">
        <v>4.5149511448196105</v>
      </c>
      <c r="N28" s="283">
        <v>6.8159293538923542</v>
      </c>
      <c r="O28" s="307">
        <v>6</v>
      </c>
      <c r="P28" s="283">
        <v>7.773115773115773</v>
      </c>
      <c r="Q28" s="283">
        <v>8.567944250871081</v>
      </c>
      <c r="R28" s="307">
        <v>10</v>
      </c>
      <c r="S28" s="283">
        <v>4.2696194425742791</v>
      </c>
      <c r="T28" s="283">
        <v>5.6306078755747926</v>
      </c>
      <c r="U28" s="283">
        <v>8.1071428571428577</v>
      </c>
      <c r="V28" s="283">
        <v>8.5714285714285712</v>
      </c>
      <c r="W28" s="307">
        <v>10</v>
      </c>
      <c r="X28" s="309">
        <v>26</v>
      </c>
      <c r="Y28" s="283">
        <f t="shared" si="0"/>
        <v>22.467075909614842</v>
      </c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</row>
    <row r="29" spans="1:44" s="281" customFormat="1">
      <c r="A29" s="281">
        <v>185</v>
      </c>
      <c r="B29" s="281">
        <v>0</v>
      </c>
      <c r="C29" s="282" t="s">
        <v>533</v>
      </c>
      <c r="D29" s="282" t="s">
        <v>160</v>
      </c>
      <c r="E29" s="282" t="s">
        <v>127</v>
      </c>
      <c r="F29" s="282" t="s">
        <v>127</v>
      </c>
      <c r="G29" s="355">
        <v>1</v>
      </c>
      <c r="H29" s="355">
        <v>2</v>
      </c>
      <c r="I29" s="281">
        <v>1</v>
      </c>
      <c r="J29" s="281">
        <v>1</v>
      </c>
      <c r="K29" s="283">
        <v>7.619106960458657</v>
      </c>
      <c r="L29" s="283">
        <v>7.5238095238095237</v>
      </c>
      <c r="M29" s="283">
        <v>3.8240516677567036</v>
      </c>
      <c r="N29" s="283">
        <v>7.109782554650578</v>
      </c>
      <c r="O29" s="307">
        <v>20</v>
      </c>
      <c r="P29" s="283">
        <v>4.617547267547268</v>
      </c>
      <c r="Q29" s="283">
        <v>9.1533101045296181</v>
      </c>
      <c r="R29" s="307">
        <v>24</v>
      </c>
      <c r="S29" s="283">
        <v>3.397416251586229</v>
      </c>
      <c r="T29" s="283">
        <v>6.4221124760214465</v>
      </c>
      <c r="U29" s="283">
        <v>7.3152380952380938</v>
      </c>
      <c r="V29" s="283">
        <v>9.2857142857142865</v>
      </c>
      <c r="W29" s="308">
        <v>12</v>
      </c>
      <c r="X29" s="309">
        <v>56</v>
      </c>
      <c r="Y29" s="283">
        <f t="shared" si="0"/>
        <v>22.277618058338497</v>
      </c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</row>
    <row r="30" spans="1:44">
      <c r="A30">
        <v>1</v>
      </c>
      <c r="B30">
        <v>0</v>
      </c>
      <c r="C30" s="252" t="s">
        <v>317</v>
      </c>
      <c r="D30" s="253" t="s">
        <v>316</v>
      </c>
      <c r="E30" s="252" t="s">
        <v>106</v>
      </c>
      <c r="F30" s="252" t="s">
        <v>106</v>
      </c>
      <c r="G30" s="350">
        <v>4</v>
      </c>
      <c r="H30" s="351">
        <v>3</v>
      </c>
      <c r="I30">
        <v>0</v>
      </c>
      <c r="J30">
        <v>0</v>
      </c>
      <c r="K30" s="20">
        <v>7.0761359719727768</v>
      </c>
      <c r="L30" s="20">
        <v>1.9140476190476192</v>
      </c>
      <c r="M30" s="20">
        <v>1.2658600392413342</v>
      </c>
      <c r="N30" s="20">
        <v>4.7009241189402564</v>
      </c>
      <c r="O30" s="240">
        <v>152</v>
      </c>
      <c r="P30" s="20">
        <v>6.7883320383320385</v>
      </c>
      <c r="Q30" s="20">
        <v>1</v>
      </c>
      <c r="R30" s="232">
        <v>162</v>
      </c>
      <c r="S30" s="20">
        <v>1.0517838786710849</v>
      </c>
      <c r="T30" s="20">
        <v>4.2873748320133487</v>
      </c>
      <c r="U30" s="20">
        <v>3.4047619047619047</v>
      </c>
      <c r="V30" s="20">
        <v>5.7142857142857135</v>
      </c>
      <c r="W30" s="232">
        <v>149</v>
      </c>
      <c r="X30" s="239">
        <v>463</v>
      </c>
      <c r="Y30" s="236">
        <f t="shared" si="0"/>
        <v>8.3537935197335091</v>
      </c>
    </row>
    <row r="31" spans="1:44">
      <c r="A31">
        <v>2</v>
      </c>
      <c r="B31">
        <v>0</v>
      </c>
      <c r="C31" s="252" t="s">
        <v>261</v>
      </c>
      <c r="D31" s="253" t="s">
        <v>260</v>
      </c>
      <c r="E31" s="252" t="s">
        <v>107</v>
      </c>
      <c r="F31" s="252" t="s">
        <v>108</v>
      </c>
      <c r="G31" s="350">
        <v>4</v>
      </c>
      <c r="H31" s="351">
        <v>4</v>
      </c>
      <c r="I31">
        <v>0</v>
      </c>
      <c r="J31">
        <v>0</v>
      </c>
      <c r="K31" s="20">
        <v>6.3895796771681965</v>
      </c>
      <c r="L31" s="20">
        <v>3.4264285714285712</v>
      </c>
      <c r="M31" s="20">
        <v>1.3135382603008501</v>
      </c>
      <c r="N31" s="20">
        <v>5.6559922142252228</v>
      </c>
      <c r="O31" s="240">
        <v>132</v>
      </c>
      <c r="P31" s="20">
        <v>7.5490675990675982</v>
      </c>
      <c r="Q31" s="20">
        <v>6.0592334494773521</v>
      </c>
      <c r="R31" s="232">
        <v>109</v>
      </c>
      <c r="S31" s="20">
        <v>2.1658048422969531</v>
      </c>
      <c r="T31" s="20">
        <v>4.1572782478449932</v>
      </c>
      <c r="U31" s="20">
        <v>4</v>
      </c>
      <c r="V31" s="20">
        <v>5.7142857142857135</v>
      </c>
      <c r="W31" s="232">
        <v>140</v>
      </c>
      <c r="X31" s="239">
        <v>381</v>
      </c>
      <c r="Y31" s="236">
        <f t="shared" si="0"/>
        <v>14.264960331364977</v>
      </c>
    </row>
    <row r="32" spans="1:44">
      <c r="A32">
        <v>3</v>
      </c>
      <c r="B32">
        <v>0</v>
      </c>
      <c r="C32" s="252" t="s">
        <v>376</v>
      </c>
      <c r="D32" s="253" t="s">
        <v>375</v>
      </c>
      <c r="E32" s="252" t="s">
        <v>109</v>
      </c>
      <c r="F32" s="252" t="s">
        <v>110</v>
      </c>
      <c r="G32" s="350">
        <v>2</v>
      </c>
      <c r="H32" s="351">
        <v>3</v>
      </c>
      <c r="I32">
        <v>0</v>
      </c>
      <c r="J32">
        <v>0</v>
      </c>
      <c r="K32" s="20">
        <v>6.2479683537666251</v>
      </c>
      <c r="L32" s="20">
        <v>4.3213492063492058</v>
      </c>
      <c r="M32" s="20">
        <v>2.7229398299542185</v>
      </c>
      <c r="N32" s="20">
        <v>5.5573648076166631</v>
      </c>
      <c r="O32" s="240">
        <v>102</v>
      </c>
      <c r="P32" s="20">
        <v>7.8322973322973315</v>
      </c>
      <c r="Q32" s="20">
        <v>7.8989547038327528</v>
      </c>
      <c r="R32" s="232">
        <v>24</v>
      </c>
      <c r="S32" s="20">
        <v>3.1524801690809121</v>
      </c>
      <c r="T32" s="20">
        <v>4.7236256132961048</v>
      </c>
      <c r="U32" s="20">
        <v>6.0119047619047619</v>
      </c>
      <c r="V32" s="20">
        <v>7.6190476190476186</v>
      </c>
      <c r="W32" s="232">
        <v>66</v>
      </c>
      <c r="X32" s="239">
        <v>192</v>
      </c>
      <c r="Y32" s="236">
        <f t="shared" si="0"/>
        <v>17.988124794086779</v>
      </c>
    </row>
    <row r="33" spans="1:25">
      <c r="A33">
        <v>5</v>
      </c>
      <c r="B33">
        <v>0</v>
      </c>
      <c r="C33" s="252" t="s">
        <v>372</v>
      </c>
      <c r="D33" s="253" t="s">
        <v>371</v>
      </c>
      <c r="E33" s="252" t="s">
        <v>113</v>
      </c>
      <c r="F33" s="252" t="s">
        <v>114</v>
      </c>
      <c r="G33" s="350">
        <v>1</v>
      </c>
      <c r="H33" s="351">
        <v>2</v>
      </c>
      <c r="I33">
        <v>0</v>
      </c>
      <c r="J33">
        <v>0</v>
      </c>
      <c r="K33" s="305">
        <v>6.7614280090594985</v>
      </c>
      <c r="L33" s="305">
        <v>7.28095238095238</v>
      </c>
      <c r="M33" s="305">
        <v>2.6719260954872466</v>
      </c>
      <c r="N33" s="305">
        <v>5.9356669948005871</v>
      </c>
      <c r="O33" s="240">
        <v>34</v>
      </c>
      <c r="P33" s="305">
        <v>7.7712509712509714</v>
      </c>
      <c r="Q33" s="305">
        <v>8.0348432055749122</v>
      </c>
      <c r="R33" s="232">
        <v>21</v>
      </c>
      <c r="S33" s="305">
        <v>2.3749658125404918</v>
      </c>
      <c r="T33" s="20">
        <v>3.7603720474212889</v>
      </c>
      <c r="U33" s="305">
        <v>6.3095238095238102</v>
      </c>
      <c r="V33" s="305">
        <v>4.7619047619047619</v>
      </c>
      <c r="W33" s="232">
        <v>125</v>
      </c>
      <c r="X33" s="239">
        <v>180</v>
      </c>
      <c r="Y33" s="236">
        <f t="shared" si="0"/>
        <v>17.99902818349743</v>
      </c>
    </row>
    <row r="34" spans="1:25">
      <c r="A34">
        <v>6</v>
      </c>
      <c r="B34">
        <v>0</v>
      </c>
      <c r="C34" s="252" t="s">
        <v>616</v>
      </c>
      <c r="D34" s="253" t="s">
        <v>615</v>
      </c>
      <c r="E34" s="252" t="s">
        <v>115</v>
      </c>
      <c r="F34" s="252" t="s">
        <v>116</v>
      </c>
      <c r="G34" s="350">
        <v>2</v>
      </c>
      <c r="H34" s="351">
        <v>2</v>
      </c>
      <c r="I34">
        <v>0</v>
      </c>
      <c r="J34">
        <v>0</v>
      </c>
      <c r="K34" s="20">
        <v>7.1104780069750406</v>
      </c>
      <c r="L34" s="20">
        <v>5.4670562770562778</v>
      </c>
      <c r="M34" s="20">
        <v>4.4818835840418574</v>
      </c>
      <c r="N34" s="20">
        <v>7.2249988002918641</v>
      </c>
      <c r="O34" s="240">
        <v>22</v>
      </c>
      <c r="P34" s="20">
        <v>7.2305749805749802</v>
      </c>
      <c r="Q34" s="20">
        <v>6.3519163763066206</v>
      </c>
      <c r="R34" s="232">
        <v>112</v>
      </c>
      <c r="S34" s="20">
        <v>4.0633955118185678</v>
      </c>
      <c r="T34" s="20">
        <v>5.2729860484211821</v>
      </c>
      <c r="U34" s="20">
        <v>7.9707359307359313</v>
      </c>
      <c r="V34" s="20">
        <v>9.4155844155844157</v>
      </c>
      <c r="W34" s="232">
        <v>10</v>
      </c>
      <c r="X34" s="239">
        <v>144</v>
      </c>
      <c r="Y34" s="236">
        <f t="shared" ref="Y34:Y65" si="1">(((AVERAGE(K34:N34)+AVERAGE(Q34+AVERAGE(S34:V34)))))</f>
        <v>19.103696020037905</v>
      </c>
    </row>
    <row r="35" spans="1:25">
      <c r="A35">
        <v>7</v>
      </c>
      <c r="B35">
        <v>0</v>
      </c>
      <c r="C35" s="252" t="s">
        <v>638</v>
      </c>
      <c r="D35" s="253" t="s">
        <v>637</v>
      </c>
      <c r="E35" s="252" t="s">
        <v>109</v>
      </c>
      <c r="F35" s="252" t="s">
        <v>117</v>
      </c>
      <c r="G35" s="350">
        <v>2</v>
      </c>
      <c r="H35" s="351">
        <v>3</v>
      </c>
      <c r="I35">
        <v>0</v>
      </c>
      <c r="J35">
        <v>0</v>
      </c>
      <c r="K35" s="20">
        <v>4.3175307223037507</v>
      </c>
      <c r="L35" s="20">
        <v>4.7700000000000005</v>
      </c>
      <c r="M35" s="20">
        <v>4.8500654022236755</v>
      </c>
      <c r="N35" s="20">
        <v>5.7485602883765763</v>
      </c>
      <c r="O35" s="240">
        <v>81</v>
      </c>
      <c r="P35" s="20">
        <v>7.2899766899766902</v>
      </c>
      <c r="Q35" s="20">
        <v>8.2334494773519182</v>
      </c>
      <c r="R35" s="232">
        <v>31</v>
      </c>
      <c r="S35" s="20">
        <v>3.1039016046218832</v>
      </c>
      <c r="T35" s="20">
        <v>4.9654584047980714</v>
      </c>
      <c r="U35" s="20">
        <v>5.8190476190476188</v>
      </c>
      <c r="V35" s="20">
        <v>7.8571428571428568</v>
      </c>
      <c r="W35" s="232">
        <v>64</v>
      </c>
      <c r="X35" s="239">
        <v>176</v>
      </c>
      <c r="Y35" s="236">
        <f t="shared" si="1"/>
        <v>18.591376201980527</v>
      </c>
    </row>
    <row r="36" spans="1:25">
      <c r="A36">
        <v>8</v>
      </c>
      <c r="B36">
        <v>0</v>
      </c>
      <c r="C36" s="252" t="s">
        <v>255</v>
      </c>
      <c r="D36" s="253" t="s">
        <v>254</v>
      </c>
      <c r="E36" s="252" t="s">
        <v>115</v>
      </c>
      <c r="F36" s="252" t="s">
        <v>118</v>
      </c>
      <c r="G36" s="350">
        <v>2</v>
      </c>
      <c r="H36" s="351">
        <v>2</v>
      </c>
      <c r="I36">
        <v>0</v>
      </c>
      <c r="J36">
        <v>0</v>
      </c>
      <c r="K36" s="20">
        <v>7.6628786890118885</v>
      </c>
      <c r="L36" s="20">
        <v>3.8392857142857144</v>
      </c>
      <c r="M36" s="20">
        <v>2.9139960758665797</v>
      </c>
      <c r="N36" s="20">
        <v>5.0173336529629342</v>
      </c>
      <c r="O36" s="240">
        <v>90</v>
      </c>
      <c r="P36" s="20">
        <v>7.7490416990416993</v>
      </c>
      <c r="Q36" s="20">
        <v>1</v>
      </c>
      <c r="R36" s="232">
        <v>153</v>
      </c>
      <c r="S36" s="20">
        <v>1.6807880955956158</v>
      </c>
      <c r="T36" s="20">
        <v>4.0241233326860177</v>
      </c>
      <c r="U36" s="20">
        <v>8.5714285714285712</v>
      </c>
      <c r="V36" s="20">
        <v>6.4285714285714288</v>
      </c>
      <c r="W36" s="232">
        <v>86</v>
      </c>
      <c r="X36" s="239">
        <v>329</v>
      </c>
      <c r="Y36" s="236">
        <f t="shared" si="1"/>
        <v>11.034601390102187</v>
      </c>
    </row>
    <row r="37" spans="1:25">
      <c r="A37">
        <v>11</v>
      </c>
      <c r="B37">
        <v>0</v>
      </c>
      <c r="C37" s="252" t="s">
        <v>384</v>
      </c>
      <c r="D37" s="253" t="s">
        <v>383</v>
      </c>
      <c r="E37" s="252" t="s">
        <v>109</v>
      </c>
      <c r="F37" s="252" t="s">
        <v>117</v>
      </c>
      <c r="G37" s="350">
        <v>2</v>
      </c>
      <c r="H37" s="351">
        <v>3</v>
      </c>
      <c r="I37">
        <v>0</v>
      </c>
      <c r="J37">
        <v>0</v>
      </c>
      <c r="K37" s="20">
        <v>7.3258856005911692</v>
      </c>
      <c r="L37" s="20">
        <v>4.1971428571428575</v>
      </c>
      <c r="M37" s="20">
        <v>6.1416448659254419</v>
      </c>
      <c r="N37" s="20">
        <v>5.3936537379988776</v>
      </c>
      <c r="O37" s="240">
        <v>29</v>
      </c>
      <c r="P37" s="20">
        <v>7.7453379953379962</v>
      </c>
      <c r="Q37" s="20">
        <v>7.1463414634146334</v>
      </c>
      <c r="R37" s="232">
        <v>51</v>
      </c>
      <c r="S37" s="20">
        <v>2.7647922001947678</v>
      </c>
      <c r="T37" s="20">
        <v>3.6879527045898239</v>
      </c>
      <c r="U37" s="20">
        <v>5.7857142857142847</v>
      </c>
      <c r="V37" s="20">
        <v>7.1428571428571432</v>
      </c>
      <c r="W37" s="232">
        <v>98</v>
      </c>
      <c r="X37" s="239">
        <v>178</v>
      </c>
      <c r="Y37" s="236">
        <f t="shared" si="1"/>
        <v>17.756252312168225</v>
      </c>
    </row>
    <row r="38" spans="1:25">
      <c r="A38">
        <v>12</v>
      </c>
      <c r="B38">
        <v>0</v>
      </c>
      <c r="C38" s="252" t="s">
        <v>322</v>
      </c>
      <c r="D38" s="253" t="s">
        <v>321</v>
      </c>
      <c r="E38" s="252" t="s">
        <v>107</v>
      </c>
      <c r="F38" s="252" t="s">
        <v>121</v>
      </c>
      <c r="G38" s="350">
        <v>4</v>
      </c>
      <c r="H38" s="351">
        <v>4</v>
      </c>
      <c r="I38">
        <v>0</v>
      </c>
      <c r="J38">
        <v>0</v>
      </c>
      <c r="K38" s="305">
        <v>7.1952723251021755</v>
      </c>
      <c r="L38" s="305">
        <v>2.4447619047619047</v>
      </c>
      <c r="M38" s="305">
        <v>1.2607096141268803</v>
      </c>
      <c r="N38" s="305">
        <v>4.2397900311141328</v>
      </c>
      <c r="O38" s="240">
        <v>151</v>
      </c>
      <c r="P38" s="305">
        <v>6.0941595441595444</v>
      </c>
      <c r="Q38" s="305">
        <v>5.9651567944250878</v>
      </c>
      <c r="R38" s="232">
        <v>141</v>
      </c>
      <c r="S38" s="305">
        <v>1.9857139105580137</v>
      </c>
      <c r="T38" s="20">
        <v>3.5639835031337084</v>
      </c>
      <c r="U38" s="305">
        <v>4.2857142857142856</v>
      </c>
      <c r="V38" s="305">
        <v>4.7619047619047619</v>
      </c>
      <c r="W38" s="232">
        <v>148</v>
      </c>
      <c r="X38" s="239">
        <v>440</v>
      </c>
      <c r="Y38" s="236">
        <f t="shared" si="1"/>
        <v>13.399619378529053</v>
      </c>
    </row>
    <row r="39" spans="1:25">
      <c r="A39">
        <v>14</v>
      </c>
      <c r="B39">
        <v>0</v>
      </c>
      <c r="C39" s="252" t="s">
        <v>249</v>
      </c>
      <c r="D39" s="253" t="s">
        <v>248</v>
      </c>
      <c r="E39" s="252" t="s">
        <v>107</v>
      </c>
      <c r="F39" s="252" t="s">
        <v>122</v>
      </c>
      <c r="G39" s="350">
        <v>4</v>
      </c>
      <c r="H39" s="351">
        <v>3</v>
      </c>
      <c r="I39">
        <v>0</v>
      </c>
      <c r="J39">
        <v>0</v>
      </c>
      <c r="K39" s="305">
        <v>6.9586370519290996</v>
      </c>
      <c r="L39" s="305">
        <v>3.6321428571428571</v>
      </c>
      <c r="M39" s="305">
        <v>1.2020977763243952</v>
      </c>
      <c r="N39" s="305">
        <v>5.2188298766154109</v>
      </c>
      <c r="O39" s="240">
        <v>128</v>
      </c>
      <c r="P39" s="305">
        <v>6.9049210049210048</v>
      </c>
      <c r="Q39" s="305">
        <v>6.7909407665505226</v>
      </c>
      <c r="R39" s="232">
        <v>106</v>
      </c>
      <c r="S39" s="305">
        <v>2.1549335395648153</v>
      </c>
      <c r="T39" s="20">
        <v>4.1891512633840531</v>
      </c>
      <c r="U39" s="305">
        <v>5</v>
      </c>
      <c r="V39" s="305">
        <v>5.7142857142857135</v>
      </c>
      <c r="W39" s="232">
        <v>127</v>
      </c>
      <c r="X39" s="239">
        <v>361</v>
      </c>
      <c r="Y39" s="236">
        <f t="shared" si="1"/>
        <v>15.308460286362109</v>
      </c>
    </row>
    <row r="40" spans="1:25">
      <c r="A40">
        <v>15</v>
      </c>
      <c r="B40">
        <v>0</v>
      </c>
      <c r="C40" s="252" t="s">
        <v>502</v>
      </c>
      <c r="D40" s="253" t="s">
        <v>501</v>
      </c>
      <c r="E40" s="252" t="s">
        <v>107</v>
      </c>
      <c r="F40" s="252" t="s">
        <v>122</v>
      </c>
      <c r="G40" s="350">
        <v>4</v>
      </c>
      <c r="H40" s="351">
        <v>3</v>
      </c>
      <c r="I40">
        <v>0</v>
      </c>
      <c r="J40">
        <v>0</v>
      </c>
      <c r="K40" s="20">
        <v>7.1655211603399662</v>
      </c>
      <c r="L40" s="20">
        <v>3.8082142857142856</v>
      </c>
      <c r="M40" s="20">
        <v>1.3350032701111838</v>
      </c>
      <c r="N40" s="20">
        <v>4.5390171671304742</v>
      </c>
      <c r="O40" s="240">
        <v>131</v>
      </c>
      <c r="P40" s="20">
        <v>7.6861175861175859</v>
      </c>
      <c r="Q40" s="20">
        <v>7.2090592334494783</v>
      </c>
      <c r="R40" s="232">
        <v>50</v>
      </c>
      <c r="S40" s="20">
        <v>2.059191827200721</v>
      </c>
      <c r="T40" s="20">
        <v>3.4989869160539424</v>
      </c>
      <c r="U40" s="20">
        <v>3.5714285714285716</v>
      </c>
      <c r="V40" s="20">
        <v>3.5714285714285716</v>
      </c>
      <c r="W40" s="232">
        <v>154</v>
      </c>
      <c r="X40" s="239">
        <v>335</v>
      </c>
      <c r="Y40" s="236">
        <f t="shared" si="1"/>
        <v>14.596257175801407</v>
      </c>
    </row>
    <row r="41" spans="1:25">
      <c r="A41">
        <v>16</v>
      </c>
      <c r="B41">
        <v>0</v>
      </c>
      <c r="C41" s="252" t="s">
        <v>267</v>
      </c>
      <c r="D41" s="253" t="s">
        <v>266</v>
      </c>
      <c r="E41" s="252" t="s">
        <v>106</v>
      </c>
      <c r="F41" s="252" t="s">
        <v>106</v>
      </c>
      <c r="G41" s="350">
        <v>4</v>
      </c>
      <c r="H41" s="351">
        <v>3</v>
      </c>
      <c r="I41">
        <v>0</v>
      </c>
      <c r="J41">
        <v>0</v>
      </c>
      <c r="K41" s="20">
        <v>6.7999481414376692</v>
      </c>
      <c r="L41" s="20">
        <v>3.58</v>
      </c>
      <c r="M41" s="20">
        <v>1.3340418574231525</v>
      </c>
      <c r="N41" s="20">
        <v>2.6807939415950113</v>
      </c>
      <c r="O41" s="240">
        <v>157</v>
      </c>
      <c r="P41" s="20">
        <v>7.4861175861175857</v>
      </c>
      <c r="Q41" s="20">
        <v>6.3414634146341475</v>
      </c>
      <c r="R41" s="232">
        <v>96</v>
      </c>
      <c r="S41" s="20">
        <v>3.4237019471109229</v>
      </c>
      <c r="T41" s="20">
        <v>4.1010239969908362</v>
      </c>
      <c r="U41" s="20">
        <v>4.9285714285714279</v>
      </c>
      <c r="V41" s="20">
        <v>6.4285714285714288</v>
      </c>
      <c r="W41" s="232">
        <v>105</v>
      </c>
      <c r="X41" s="239">
        <v>358</v>
      </c>
      <c r="Y41" s="236">
        <f t="shared" si="1"/>
        <v>14.660626600059258</v>
      </c>
    </row>
    <row r="42" spans="1:25">
      <c r="A42">
        <v>17</v>
      </c>
      <c r="B42">
        <v>0</v>
      </c>
      <c r="C42" s="252" t="s">
        <v>584</v>
      </c>
      <c r="D42" s="253" t="s">
        <v>583</v>
      </c>
      <c r="E42" s="252" t="s">
        <v>111</v>
      </c>
      <c r="F42" s="252" t="s">
        <v>110</v>
      </c>
      <c r="G42" s="350">
        <v>2</v>
      </c>
      <c r="H42" s="351">
        <v>2</v>
      </c>
      <c r="I42">
        <v>0</v>
      </c>
      <c r="J42">
        <v>0</v>
      </c>
      <c r="K42" s="305">
        <v>7.582428746925908</v>
      </c>
      <c r="L42" s="305">
        <v>5.9158730158730162</v>
      </c>
      <c r="M42" s="305">
        <v>5.5742151733158938</v>
      </c>
      <c r="N42" s="305">
        <v>6.3951470769854488</v>
      </c>
      <c r="O42" s="240">
        <v>13</v>
      </c>
      <c r="P42" s="305">
        <v>8.1470085470085465</v>
      </c>
      <c r="Q42" s="305">
        <v>7.5121951219512191</v>
      </c>
      <c r="R42" s="232">
        <v>25</v>
      </c>
      <c r="S42" s="305">
        <v>3.3071969655076288</v>
      </c>
      <c r="T42" s="20">
        <v>5.7808639652224922</v>
      </c>
      <c r="U42" s="305">
        <v>7.1460317460317455</v>
      </c>
      <c r="V42" s="305">
        <v>8.0952380952380949</v>
      </c>
      <c r="W42" s="232">
        <v>36</v>
      </c>
      <c r="X42" s="239">
        <v>74</v>
      </c>
      <c r="Y42" s="236">
        <f t="shared" si="1"/>
        <v>19.961443818226275</v>
      </c>
    </row>
    <row r="43" spans="1:25">
      <c r="A43">
        <v>18</v>
      </c>
      <c r="B43">
        <v>0</v>
      </c>
      <c r="C43" s="252" t="s">
        <v>362</v>
      </c>
      <c r="D43" s="253" t="s">
        <v>361</v>
      </c>
      <c r="E43" s="252" t="s">
        <v>113</v>
      </c>
      <c r="F43" s="252" t="s">
        <v>114</v>
      </c>
      <c r="G43" s="350">
        <v>1</v>
      </c>
      <c r="H43" s="351">
        <v>2</v>
      </c>
      <c r="I43">
        <v>0</v>
      </c>
      <c r="J43">
        <v>0</v>
      </c>
      <c r="K43" s="305">
        <v>6.5748111366031168</v>
      </c>
      <c r="L43" s="305">
        <v>5.3071428571428569</v>
      </c>
      <c r="M43" s="305">
        <v>3.6724820143884891</v>
      </c>
      <c r="N43" s="305">
        <v>4.4826937772334468</v>
      </c>
      <c r="O43" s="240">
        <v>73</v>
      </c>
      <c r="P43" s="305">
        <v>7.7694120694120699</v>
      </c>
      <c r="Q43" s="305">
        <v>8.9756097560975618</v>
      </c>
      <c r="R43" s="232">
        <v>3</v>
      </c>
      <c r="S43" s="305">
        <v>1.2502752936957651</v>
      </c>
      <c r="T43" s="20">
        <v>3.4728271661448376</v>
      </c>
      <c r="U43" s="305">
        <v>5.7142857142857135</v>
      </c>
      <c r="V43" s="305">
        <v>5.7142857142857135</v>
      </c>
      <c r="W43" s="232">
        <v>136</v>
      </c>
      <c r="X43" s="239">
        <v>212</v>
      </c>
      <c r="Y43" s="236">
        <f t="shared" si="1"/>
        <v>18.022810674542548</v>
      </c>
    </row>
    <row r="44" spans="1:25">
      <c r="A44">
        <v>19</v>
      </c>
      <c r="B44">
        <v>0</v>
      </c>
      <c r="C44" s="252" t="s">
        <v>630</v>
      </c>
      <c r="D44" s="253" t="s">
        <v>123</v>
      </c>
      <c r="E44" s="252" t="s">
        <v>115</v>
      </c>
      <c r="F44" s="252" t="s">
        <v>118</v>
      </c>
      <c r="G44" s="350">
        <v>2</v>
      </c>
      <c r="H44" s="351">
        <v>2</v>
      </c>
      <c r="I44">
        <v>0</v>
      </c>
      <c r="J44">
        <v>0</v>
      </c>
      <c r="K44" s="20">
        <v>7.293459634114356</v>
      </c>
      <c r="L44" s="20">
        <v>4.246031746031746</v>
      </c>
      <c r="M44" s="20">
        <v>4.2177894048397651</v>
      </c>
      <c r="N44" s="20">
        <v>6.9782478163849566</v>
      </c>
      <c r="O44" s="240">
        <v>32</v>
      </c>
      <c r="P44" s="20">
        <v>7.704597254597255</v>
      </c>
      <c r="Q44" s="20">
        <v>8.0348432055749122</v>
      </c>
      <c r="R44" s="232">
        <v>23</v>
      </c>
      <c r="S44" s="20">
        <v>1.3802679082458384</v>
      </c>
      <c r="T44" s="20">
        <v>3.7532093651038294</v>
      </c>
      <c r="U44" s="20">
        <v>5.6428571428571423</v>
      </c>
      <c r="V44" s="20">
        <v>6.8571428571428577</v>
      </c>
      <c r="W44" s="232">
        <v>120</v>
      </c>
      <c r="X44" s="239">
        <v>175</v>
      </c>
      <c r="Y44" s="236">
        <f t="shared" si="1"/>
        <v>18.127094674255034</v>
      </c>
    </row>
    <row r="45" spans="1:25">
      <c r="A45">
        <v>20</v>
      </c>
      <c r="B45">
        <v>0</v>
      </c>
      <c r="C45" s="252" t="s">
        <v>452</v>
      </c>
      <c r="D45" s="253" t="s">
        <v>451</v>
      </c>
      <c r="E45" s="252" t="s">
        <v>109</v>
      </c>
      <c r="F45" s="252" t="s">
        <v>110</v>
      </c>
      <c r="G45" s="350">
        <v>2</v>
      </c>
      <c r="H45" s="351">
        <v>3</v>
      </c>
      <c r="I45">
        <v>0</v>
      </c>
      <c r="J45">
        <v>0</v>
      </c>
      <c r="K45" s="305">
        <v>4.8108904003915516</v>
      </c>
      <c r="L45" s="305">
        <v>4.6555555555555559</v>
      </c>
      <c r="M45" s="305">
        <v>2.9394048397645518</v>
      </c>
      <c r="N45" s="305">
        <v>5.565500232999713</v>
      </c>
      <c r="O45" s="240">
        <v>117</v>
      </c>
      <c r="P45" s="305">
        <v>7.7027454027454034</v>
      </c>
      <c r="Q45" s="305">
        <v>6.8745644599303137</v>
      </c>
      <c r="R45" s="232">
        <v>64</v>
      </c>
      <c r="S45" s="305">
        <v>3.0177057222054828</v>
      </c>
      <c r="T45" s="20">
        <v>4.5028281118823994</v>
      </c>
      <c r="U45" s="305">
        <v>5.7777777777777786</v>
      </c>
      <c r="V45" s="305">
        <v>6.6666666666666679</v>
      </c>
      <c r="W45" s="232">
        <v>90</v>
      </c>
      <c r="X45" s="239">
        <v>271</v>
      </c>
      <c r="Y45" s="236">
        <f t="shared" si="1"/>
        <v>16.35864678674124</v>
      </c>
    </row>
    <row r="46" spans="1:25">
      <c r="A46">
        <v>21</v>
      </c>
      <c r="B46">
        <v>0</v>
      </c>
      <c r="C46" s="252" t="s">
        <v>412</v>
      </c>
      <c r="D46" s="253" t="s">
        <v>411</v>
      </c>
      <c r="E46" s="252" t="s">
        <v>109</v>
      </c>
      <c r="F46" s="252" t="s">
        <v>117</v>
      </c>
      <c r="G46" s="350">
        <v>2</v>
      </c>
      <c r="H46" s="351">
        <v>2</v>
      </c>
      <c r="I46">
        <v>0</v>
      </c>
      <c r="J46">
        <v>0</v>
      </c>
      <c r="K46" s="20">
        <v>7.8406200506034169</v>
      </c>
      <c r="L46" s="20">
        <v>4.4642857142857144</v>
      </c>
      <c r="M46" s="20">
        <v>7.9463538260300854</v>
      </c>
      <c r="N46" s="20">
        <v>6.1245830066540474</v>
      </c>
      <c r="O46" s="240">
        <v>5</v>
      </c>
      <c r="P46" s="20">
        <v>7.8305102305102299</v>
      </c>
      <c r="Q46" s="20">
        <v>6.0905923344947741</v>
      </c>
      <c r="R46" s="232">
        <v>88</v>
      </c>
      <c r="S46" s="20">
        <v>2.6354760510847401</v>
      </c>
      <c r="T46" s="20">
        <v>4.3618339090488174</v>
      </c>
      <c r="U46" s="20">
        <v>5.7142857142857135</v>
      </c>
      <c r="V46" s="20">
        <v>5.7142857142857135</v>
      </c>
      <c r="W46" s="232">
        <v>112</v>
      </c>
      <c r="X46" s="239">
        <v>205</v>
      </c>
      <c r="Y46" s="236">
        <f t="shared" si="1"/>
        <v>17.291023331064338</v>
      </c>
    </row>
    <row r="47" spans="1:25">
      <c r="A47">
        <v>22</v>
      </c>
      <c r="B47">
        <v>0</v>
      </c>
      <c r="C47" s="252" t="s">
        <v>612</v>
      </c>
      <c r="D47" s="253" t="s">
        <v>611</v>
      </c>
      <c r="E47" s="252" t="s">
        <v>115</v>
      </c>
      <c r="F47" s="252" t="s">
        <v>124</v>
      </c>
      <c r="G47" s="350">
        <v>2</v>
      </c>
      <c r="H47" s="351">
        <v>3</v>
      </c>
      <c r="I47">
        <v>0</v>
      </c>
      <c r="J47">
        <v>0</v>
      </c>
      <c r="K47" s="305">
        <v>7.3975680997220596</v>
      </c>
      <c r="L47" s="305">
        <v>5.1053030303030305</v>
      </c>
      <c r="M47" s="305">
        <v>2.1043982995421846</v>
      </c>
      <c r="N47" s="305">
        <v>5.953964608593215</v>
      </c>
      <c r="O47" s="240">
        <v>64</v>
      </c>
      <c r="P47" s="305">
        <v>7.6064491064491069</v>
      </c>
      <c r="Q47" s="305">
        <v>7.4285714285714288</v>
      </c>
      <c r="R47" s="232">
        <v>45</v>
      </c>
      <c r="S47" s="305">
        <v>3.4714319629215011</v>
      </c>
      <c r="T47" s="20">
        <v>5.0051133986908765</v>
      </c>
      <c r="U47" s="305">
        <v>6.4404761904761898</v>
      </c>
      <c r="V47" s="305">
        <v>9.350649350649352</v>
      </c>
      <c r="W47" s="232">
        <v>37</v>
      </c>
      <c r="X47" s="239">
        <v>146</v>
      </c>
      <c r="Y47" s="236">
        <f t="shared" si="1"/>
        <v>18.63579766379603</v>
      </c>
    </row>
    <row r="48" spans="1:25">
      <c r="A48">
        <v>23</v>
      </c>
      <c r="B48">
        <v>0</v>
      </c>
      <c r="C48" s="252" t="s">
        <v>424</v>
      </c>
      <c r="D48" s="253" t="s">
        <v>423</v>
      </c>
      <c r="E48" s="252" t="s">
        <v>115</v>
      </c>
      <c r="F48" s="252" t="s">
        <v>116</v>
      </c>
      <c r="G48" s="350">
        <v>3</v>
      </c>
      <c r="H48" s="351">
        <v>3</v>
      </c>
      <c r="I48">
        <v>0</v>
      </c>
      <c r="J48">
        <v>0</v>
      </c>
      <c r="K48" s="20">
        <v>6.7040819659654982</v>
      </c>
      <c r="L48" s="20">
        <v>4.6116402116402115</v>
      </c>
      <c r="M48" s="20">
        <v>2.1879332897318511</v>
      </c>
      <c r="N48" s="20">
        <v>6.3101809596047511</v>
      </c>
      <c r="O48" s="240">
        <v>78</v>
      </c>
      <c r="P48" s="20">
        <v>7.2231805231805239</v>
      </c>
      <c r="Q48" s="20">
        <v>6.1637630662020904</v>
      </c>
      <c r="R48" s="232">
        <v>116</v>
      </c>
      <c r="S48" s="20">
        <v>3.2622265054528135</v>
      </c>
      <c r="T48" s="20">
        <v>5.641377858214482</v>
      </c>
      <c r="U48" s="20">
        <v>4.3915343915343916</v>
      </c>
      <c r="V48" s="20">
        <v>8.8571428571428577</v>
      </c>
      <c r="W48" s="232">
        <v>60</v>
      </c>
      <c r="X48" s="239">
        <v>254</v>
      </c>
      <c r="Y48" s="236">
        <f t="shared" si="1"/>
        <v>16.655292576023804</v>
      </c>
    </row>
    <row r="49" spans="1:25">
      <c r="A49">
        <v>24</v>
      </c>
      <c r="B49">
        <v>0</v>
      </c>
      <c r="C49" s="252" t="s">
        <v>662</v>
      </c>
      <c r="D49" s="253" t="s">
        <v>661</v>
      </c>
      <c r="E49" s="252" t="s">
        <v>115</v>
      </c>
      <c r="F49" s="252" t="s">
        <v>116</v>
      </c>
      <c r="G49" s="350">
        <v>2</v>
      </c>
      <c r="H49" s="351">
        <v>2</v>
      </c>
      <c r="I49">
        <v>0</v>
      </c>
      <c r="J49">
        <v>0</v>
      </c>
      <c r="K49" s="305">
        <v>7.3958549560700346</v>
      </c>
      <c r="L49" s="305">
        <v>5.3296918767507</v>
      </c>
      <c r="M49" s="305">
        <v>2.929251144538914</v>
      </c>
      <c r="N49" s="305">
        <v>7.1392884247248123</v>
      </c>
      <c r="O49" s="240">
        <v>31</v>
      </c>
      <c r="P49" s="305">
        <v>5.5583786583786585</v>
      </c>
      <c r="Q49" s="305">
        <v>6.8118466898954715</v>
      </c>
      <c r="R49" s="232">
        <v>136</v>
      </c>
      <c r="S49" s="305">
        <v>4.2289707941808921</v>
      </c>
      <c r="T49" s="20">
        <v>7.4047941510360751</v>
      </c>
      <c r="U49" s="305">
        <v>6.5052202699261521</v>
      </c>
      <c r="V49" s="305">
        <v>9.579831932773109</v>
      </c>
      <c r="W49" s="232">
        <v>3</v>
      </c>
      <c r="X49" s="239">
        <v>170</v>
      </c>
      <c r="Y49" s="236">
        <f t="shared" si="1"/>
        <v>19.440072577395643</v>
      </c>
    </row>
    <row r="50" spans="1:25">
      <c r="A50">
        <v>25</v>
      </c>
      <c r="B50">
        <v>0</v>
      </c>
      <c r="C50" s="252" t="s">
        <v>604</v>
      </c>
      <c r="D50" s="253" t="s">
        <v>603</v>
      </c>
      <c r="E50" s="252" t="s">
        <v>115</v>
      </c>
      <c r="F50" s="252" t="s">
        <v>118</v>
      </c>
      <c r="G50" s="350">
        <v>1</v>
      </c>
      <c r="H50" s="351">
        <v>2</v>
      </c>
      <c r="I50">
        <v>0</v>
      </c>
      <c r="J50">
        <v>0</v>
      </c>
      <c r="K50" s="20">
        <v>7.0946224148317185</v>
      </c>
      <c r="L50" s="20">
        <v>7.7154761904761902</v>
      </c>
      <c r="M50" s="20">
        <v>7.9604316546762588</v>
      </c>
      <c r="N50" s="20">
        <v>4.5634804435523257</v>
      </c>
      <c r="O50" s="240">
        <v>2</v>
      </c>
      <c r="P50" s="20">
        <v>7.7564491064491072</v>
      </c>
      <c r="Q50" s="20">
        <v>8.1393728222996522</v>
      </c>
      <c r="R50" s="232">
        <v>16</v>
      </c>
      <c r="S50" s="20">
        <v>1.6310040654094091</v>
      </c>
      <c r="T50" s="20">
        <v>3.8124068502836677</v>
      </c>
      <c r="U50" s="20">
        <v>6.0119047619047619</v>
      </c>
      <c r="V50" s="20">
        <v>7.1428571428571432</v>
      </c>
      <c r="W50" s="232">
        <v>110</v>
      </c>
      <c r="X50" s="239">
        <v>128</v>
      </c>
      <c r="Y50" s="236">
        <f t="shared" si="1"/>
        <v>19.622418703297519</v>
      </c>
    </row>
    <row r="51" spans="1:25">
      <c r="A51">
        <v>26</v>
      </c>
      <c r="B51">
        <v>0</v>
      </c>
      <c r="C51" s="252" t="s">
        <v>448</v>
      </c>
      <c r="D51" s="253" t="s">
        <v>447</v>
      </c>
      <c r="E51" s="252" t="s">
        <v>119</v>
      </c>
      <c r="F51" s="252" t="s">
        <v>125</v>
      </c>
      <c r="G51" s="350">
        <v>1</v>
      </c>
      <c r="H51" s="351">
        <v>2</v>
      </c>
      <c r="I51">
        <v>0</v>
      </c>
      <c r="J51">
        <v>0</v>
      </c>
      <c r="K51" s="20">
        <v>7.5980115442685801</v>
      </c>
      <c r="L51" s="20">
        <v>5.8214285714285712</v>
      </c>
      <c r="M51" s="20">
        <v>2.6189993459777634</v>
      </c>
      <c r="N51" s="20">
        <v>5.8775139181495177</v>
      </c>
      <c r="O51" s="240">
        <v>43</v>
      </c>
      <c r="P51" s="20">
        <v>7.0917249417249417</v>
      </c>
      <c r="Q51" s="20">
        <v>1</v>
      </c>
      <c r="R51" s="232">
        <v>161</v>
      </c>
      <c r="S51" s="20">
        <v>1.2589478290809952</v>
      </c>
      <c r="T51" s="20">
        <v>4.6156291248297796</v>
      </c>
      <c r="U51" s="20">
        <v>7.7142857142857144</v>
      </c>
      <c r="V51" s="20">
        <v>5.7142857142857135</v>
      </c>
      <c r="W51" s="232">
        <v>100</v>
      </c>
      <c r="X51" s="239">
        <v>304</v>
      </c>
      <c r="Y51" s="236">
        <f t="shared" si="1"/>
        <v>11.304775440576659</v>
      </c>
    </row>
    <row r="52" spans="1:25">
      <c r="A52">
        <v>27</v>
      </c>
      <c r="B52">
        <v>0</v>
      </c>
      <c r="C52" s="252" t="s">
        <v>614</v>
      </c>
      <c r="D52" s="253" t="s">
        <v>613</v>
      </c>
      <c r="E52" s="252" t="s">
        <v>106</v>
      </c>
      <c r="F52" s="252" t="s">
        <v>106</v>
      </c>
      <c r="G52" s="350">
        <v>3</v>
      </c>
      <c r="H52" s="351">
        <v>3</v>
      </c>
      <c r="I52">
        <v>0</v>
      </c>
      <c r="J52">
        <v>0</v>
      </c>
      <c r="K52" s="20">
        <v>8.1183822704490414</v>
      </c>
      <c r="L52" s="20">
        <v>7.3142857142857149</v>
      </c>
      <c r="M52" s="20">
        <v>1.5844506213211247</v>
      </c>
      <c r="N52" s="20">
        <v>5.2197097046054717</v>
      </c>
      <c r="O52" s="240">
        <v>37</v>
      </c>
      <c r="P52" s="20">
        <v>7.8064102564102562</v>
      </c>
      <c r="Q52" s="20">
        <v>6.9581881533101049</v>
      </c>
      <c r="R52" s="232">
        <v>57</v>
      </c>
      <c r="S52" s="20">
        <v>3.3836591408887071</v>
      </c>
      <c r="T52" s="20">
        <v>6.1735575090060442</v>
      </c>
      <c r="U52" s="20">
        <v>7.8809523809523823</v>
      </c>
      <c r="V52" s="20">
        <v>9.2857142857142865</v>
      </c>
      <c r="W52" s="232">
        <v>9</v>
      </c>
      <c r="X52" s="239">
        <v>103</v>
      </c>
      <c r="Y52" s="236">
        <f t="shared" si="1"/>
        <v>19.198366060115799</v>
      </c>
    </row>
    <row r="53" spans="1:25">
      <c r="A53">
        <v>28</v>
      </c>
      <c r="B53">
        <v>0</v>
      </c>
      <c r="C53" s="252" t="s">
        <v>586</v>
      </c>
      <c r="D53" s="253" t="s">
        <v>585</v>
      </c>
      <c r="E53" s="252" t="s">
        <v>107</v>
      </c>
      <c r="F53" s="252" t="s">
        <v>108</v>
      </c>
      <c r="G53" s="350">
        <v>3</v>
      </c>
      <c r="H53" s="351">
        <v>2</v>
      </c>
      <c r="I53">
        <v>0</v>
      </c>
      <c r="J53">
        <v>0</v>
      </c>
      <c r="K53" s="305">
        <v>5.2760311384270793</v>
      </c>
      <c r="L53" s="305">
        <v>7.2154761904761902</v>
      </c>
      <c r="M53" s="305">
        <v>1.8554610856769129</v>
      </c>
      <c r="N53" s="305">
        <v>6.4019903264704343</v>
      </c>
      <c r="O53" s="240">
        <v>62</v>
      </c>
      <c r="P53" s="305">
        <v>7.480652680652681</v>
      </c>
      <c r="Q53" s="305">
        <v>8.3484320557491287</v>
      </c>
      <c r="R53" s="232">
        <v>20</v>
      </c>
      <c r="S53" s="305">
        <v>2.0629374101618314</v>
      </c>
      <c r="T53" s="20">
        <v>5.8458887310303611</v>
      </c>
      <c r="U53" s="305">
        <v>8.3363095238095237</v>
      </c>
      <c r="V53" s="305">
        <v>9.8571428571428577</v>
      </c>
      <c r="W53" s="232">
        <v>14</v>
      </c>
      <c r="X53" s="239">
        <v>96</v>
      </c>
      <c r="Y53" s="236">
        <f t="shared" si="1"/>
        <v>20.061241371547926</v>
      </c>
    </row>
    <row r="54" spans="1:25">
      <c r="A54">
        <v>29</v>
      </c>
      <c r="B54">
        <v>0</v>
      </c>
      <c r="C54" s="252" t="s">
        <v>298</v>
      </c>
      <c r="D54" s="253" t="s">
        <v>297</v>
      </c>
      <c r="E54" s="252" t="s">
        <v>107</v>
      </c>
      <c r="F54" s="252" t="s">
        <v>126</v>
      </c>
      <c r="G54" s="350">
        <v>4</v>
      </c>
      <c r="H54" s="351">
        <v>3</v>
      </c>
      <c r="I54">
        <v>0</v>
      </c>
      <c r="J54">
        <v>0</v>
      </c>
      <c r="K54" s="305">
        <v>5.1496957713634917</v>
      </c>
      <c r="L54" s="305">
        <v>2.7307142857142859</v>
      </c>
      <c r="M54" s="305">
        <v>1.443034663178548</v>
      </c>
      <c r="N54" s="305">
        <v>4.7551824213025755</v>
      </c>
      <c r="O54" s="232">
        <v>159</v>
      </c>
      <c r="P54" s="305">
        <v>7.7138694638694645</v>
      </c>
      <c r="Q54" s="305">
        <v>6.0592334494773521</v>
      </c>
      <c r="R54" s="232">
        <v>99</v>
      </c>
      <c r="S54" s="305">
        <v>2.0006596105022938</v>
      </c>
      <c r="T54" s="20">
        <v>3.3527164693985658</v>
      </c>
      <c r="U54" s="305">
        <v>2.8571428571428568</v>
      </c>
      <c r="V54" s="305">
        <v>2.8571428571428568</v>
      </c>
      <c r="W54" s="232">
        <v>158</v>
      </c>
      <c r="X54" s="239">
        <v>416</v>
      </c>
      <c r="Y54" s="236">
        <f t="shared" si="1"/>
        <v>12.345805683413719</v>
      </c>
    </row>
    <row r="55" spans="1:25">
      <c r="A55">
        <v>32</v>
      </c>
      <c r="B55">
        <v>0</v>
      </c>
      <c r="C55" s="252" t="s">
        <v>578</v>
      </c>
      <c r="D55" s="253" t="s">
        <v>577</v>
      </c>
      <c r="E55" s="252" t="s">
        <v>115</v>
      </c>
      <c r="F55" s="252" t="s">
        <v>116</v>
      </c>
      <c r="G55" s="350">
        <v>2</v>
      </c>
      <c r="H55" s="351">
        <v>2</v>
      </c>
      <c r="I55">
        <v>0</v>
      </c>
      <c r="J55">
        <v>0</v>
      </c>
      <c r="K55" s="305">
        <v>7.9031842619751274</v>
      </c>
      <c r="L55" s="305">
        <v>7.7027568922305765</v>
      </c>
      <c r="M55" s="305">
        <v>2.4877861347285806</v>
      </c>
      <c r="N55" s="305">
        <v>7.2084583203008403</v>
      </c>
      <c r="O55" s="240">
        <v>16</v>
      </c>
      <c r="P55" s="305">
        <v>7.6119528619528625</v>
      </c>
      <c r="Q55" s="305">
        <v>9.0696864111498279</v>
      </c>
      <c r="R55" s="232">
        <v>5</v>
      </c>
      <c r="S55" s="305">
        <v>3.5325093559254896</v>
      </c>
      <c r="T55" s="20">
        <v>5.2692021773680562</v>
      </c>
      <c r="U55" s="305">
        <v>6.6566416040100256</v>
      </c>
      <c r="V55" s="305">
        <v>9.5488721804511272</v>
      </c>
      <c r="W55" s="232">
        <v>29</v>
      </c>
      <c r="X55" s="239">
        <v>50</v>
      </c>
      <c r="Y55" s="236">
        <f t="shared" si="1"/>
        <v>21.647039142897285</v>
      </c>
    </row>
    <row r="56" spans="1:25">
      <c r="A56">
        <v>33</v>
      </c>
      <c r="B56">
        <v>0</v>
      </c>
      <c r="C56" s="252" t="s">
        <v>400</v>
      </c>
      <c r="D56" s="253" t="s">
        <v>399</v>
      </c>
      <c r="E56" s="252" t="s">
        <v>119</v>
      </c>
      <c r="F56" s="252" t="s">
        <v>128</v>
      </c>
      <c r="G56" s="350">
        <v>3</v>
      </c>
      <c r="H56" s="351">
        <v>3</v>
      </c>
      <c r="I56">
        <v>0</v>
      </c>
      <c r="J56">
        <v>0</v>
      </c>
      <c r="K56" s="20">
        <v>7.0839574992608281</v>
      </c>
      <c r="L56" s="20">
        <v>5.9553571428571432</v>
      </c>
      <c r="M56" s="20">
        <v>2.9394048397645518</v>
      </c>
      <c r="N56" s="20">
        <v>5.9432739161835126</v>
      </c>
      <c r="O56" s="240">
        <v>42</v>
      </c>
      <c r="P56" s="20">
        <v>5.9246827246827252</v>
      </c>
      <c r="Q56" s="20">
        <v>6.3310104529616726</v>
      </c>
      <c r="R56" s="232">
        <v>138</v>
      </c>
      <c r="S56" s="20">
        <v>3.8660731515988416</v>
      </c>
      <c r="T56" s="20">
        <v>8.926201160038989</v>
      </c>
      <c r="U56" s="20">
        <v>6.9682539682539684</v>
      </c>
      <c r="V56" s="20">
        <v>9.4285714285714288</v>
      </c>
      <c r="W56" s="232">
        <v>1</v>
      </c>
      <c r="X56" s="239">
        <v>181</v>
      </c>
      <c r="Y56" s="236">
        <f t="shared" si="1"/>
        <v>19.108783729593988</v>
      </c>
    </row>
    <row r="57" spans="1:25">
      <c r="A57">
        <v>34</v>
      </c>
      <c r="B57">
        <v>0</v>
      </c>
      <c r="C57" s="252" t="s">
        <v>271</v>
      </c>
      <c r="D57" s="253" t="s">
        <v>129</v>
      </c>
      <c r="E57" s="252" t="s">
        <v>107</v>
      </c>
      <c r="F57" s="252" t="s">
        <v>122</v>
      </c>
      <c r="G57" s="350">
        <v>4</v>
      </c>
      <c r="H57" s="351">
        <v>3</v>
      </c>
      <c r="I57">
        <v>0</v>
      </c>
      <c r="J57">
        <v>0</v>
      </c>
      <c r="K57" s="20">
        <v>7.3357595601105716</v>
      </c>
      <c r="L57" s="20">
        <v>2.8028571428571429</v>
      </c>
      <c r="M57" s="20">
        <v>1.2249509483322432</v>
      </c>
      <c r="N57" s="20">
        <v>5.4045813621339347</v>
      </c>
      <c r="O57" s="240">
        <v>133</v>
      </c>
      <c r="P57" s="20">
        <v>7.2786583786583785</v>
      </c>
      <c r="Q57" s="20">
        <v>6.6550522648083632</v>
      </c>
      <c r="R57" s="232">
        <v>87</v>
      </c>
      <c r="S57" s="20">
        <v>1.2314945850773154</v>
      </c>
      <c r="T57" s="20">
        <v>4.8138323091379425</v>
      </c>
      <c r="U57" s="20">
        <v>5</v>
      </c>
      <c r="V57" s="20">
        <v>5.7142857142857135</v>
      </c>
      <c r="W57" s="232">
        <v>130</v>
      </c>
      <c r="X57" s="239">
        <v>350</v>
      </c>
      <c r="Y57" s="236">
        <f t="shared" si="1"/>
        <v>15.036992670292079</v>
      </c>
    </row>
    <row r="58" spans="1:25">
      <c r="A58">
        <v>35</v>
      </c>
      <c r="B58">
        <v>0</v>
      </c>
      <c r="C58" s="252" t="s">
        <v>263</v>
      </c>
      <c r="D58" s="253" t="s">
        <v>262</v>
      </c>
      <c r="E58" s="252" t="s">
        <v>107</v>
      </c>
      <c r="F58" s="252" t="s">
        <v>126</v>
      </c>
      <c r="G58" s="350">
        <v>4</v>
      </c>
      <c r="H58" s="351">
        <v>3</v>
      </c>
      <c r="I58">
        <v>0</v>
      </c>
      <c r="J58">
        <v>0</v>
      </c>
      <c r="K58" s="305">
        <v>6.4985911102626357</v>
      </c>
      <c r="L58" s="305">
        <v>4.0795238095238098</v>
      </c>
      <c r="M58" s="305">
        <v>1.6151569653368214</v>
      </c>
      <c r="N58" s="305">
        <v>5.7898735077699897</v>
      </c>
      <c r="O58" s="240">
        <v>116</v>
      </c>
      <c r="P58" s="305">
        <v>6.1658378658378661</v>
      </c>
      <c r="Q58" s="305">
        <v>6.4668989547038329</v>
      </c>
      <c r="R58" s="232">
        <v>131</v>
      </c>
      <c r="S58" s="305">
        <v>2.3449355362723758</v>
      </c>
      <c r="T58" s="20">
        <v>4.2778596489369374</v>
      </c>
      <c r="U58" s="305">
        <v>6.1428571428571423</v>
      </c>
      <c r="V58" s="305">
        <v>6.4285714285714288</v>
      </c>
      <c r="W58" s="232">
        <v>102</v>
      </c>
      <c r="X58" s="239">
        <v>349</v>
      </c>
      <c r="Y58" s="236">
        <f t="shared" si="1"/>
        <v>15.761241242086617</v>
      </c>
    </row>
    <row r="59" spans="1:25">
      <c r="A59">
        <v>36</v>
      </c>
      <c r="B59">
        <v>0</v>
      </c>
      <c r="C59" s="252" t="s">
        <v>130</v>
      </c>
      <c r="D59" s="253" t="s">
        <v>131</v>
      </c>
      <c r="E59" s="252" t="s">
        <v>107</v>
      </c>
      <c r="F59" s="252" t="s">
        <v>126</v>
      </c>
      <c r="G59" s="350">
        <v>4</v>
      </c>
      <c r="H59" s="351">
        <v>4</v>
      </c>
      <c r="I59">
        <v>0</v>
      </c>
      <c r="J59">
        <v>0</v>
      </c>
      <c r="K59" s="20">
        <v>6.0643442724018266</v>
      </c>
      <c r="L59" s="20">
        <v>2.3735714285714282</v>
      </c>
      <c r="M59" s="20">
        <v>1.5827583387835187</v>
      </c>
      <c r="N59" s="20">
        <v>5.511789003441808</v>
      </c>
      <c r="O59" s="240">
        <v>149</v>
      </c>
      <c r="P59" s="20">
        <v>7.6064620564620569</v>
      </c>
      <c r="Q59" s="20">
        <v>5.515679442508711</v>
      </c>
      <c r="R59" s="232">
        <v>125</v>
      </c>
      <c r="S59" s="20">
        <v>2.4318354011321057</v>
      </c>
      <c r="T59" s="20">
        <v>4.7083044498802629</v>
      </c>
      <c r="U59" s="20">
        <v>2.8571428571428568</v>
      </c>
      <c r="V59" s="20">
        <v>3.5714285714285716</v>
      </c>
      <c r="W59" s="232">
        <v>151</v>
      </c>
      <c r="X59" s="239">
        <v>425</v>
      </c>
      <c r="Y59" s="236">
        <f t="shared" si="1"/>
        <v>12.790973023204305</v>
      </c>
    </row>
    <row r="60" spans="1:25">
      <c r="A60">
        <v>37</v>
      </c>
      <c r="B60">
        <v>0</v>
      </c>
      <c r="C60" s="252" t="s">
        <v>279</v>
      </c>
      <c r="D60" s="253" t="s">
        <v>132</v>
      </c>
      <c r="E60" s="252" t="s">
        <v>107</v>
      </c>
      <c r="F60" s="252" t="s">
        <v>126</v>
      </c>
      <c r="G60" s="350">
        <v>3</v>
      </c>
      <c r="H60" s="351">
        <v>3</v>
      </c>
      <c r="I60">
        <v>0</v>
      </c>
      <c r="J60">
        <v>0</v>
      </c>
      <c r="K60" s="20">
        <v>7.2169897867038317</v>
      </c>
      <c r="L60" s="20">
        <v>2.0285714285714285</v>
      </c>
      <c r="M60" s="20">
        <v>1.3339928057553956</v>
      </c>
      <c r="N60" s="20">
        <v>6.4123604554564544</v>
      </c>
      <c r="O60" s="240">
        <v>129</v>
      </c>
      <c r="P60" s="20">
        <v>7.1101787101787099</v>
      </c>
      <c r="Q60" s="20">
        <v>5.3275261324041807</v>
      </c>
      <c r="R60" s="232">
        <v>134</v>
      </c>
      <c r="S60" s="20">
        <v>2.3435052903750178</v>
      </c>
      <c r="T60" s="20">
        <v>3.7193539800706241</v>
      </c>
      <c r="U60" s="20">
        <v>2.8571428571428568</v>
      </c>
      <c r="V60" s="20">
        <v>2.8571428571428568</v>
      </c>
      <c r="W60" s="232">
        <v>156</v>
      </c>
      <c r="X60" s="239">
        <v>419</v>
      </c>
      <c r="Y60" s="236">
        <f t="shared" si="1"/>
        <v>12.519790997708798</v>
      </c>
    </row>
    <row r="61" spans="1:25">
      <c r="A61">
        <v>38</v>
      </c>
      <c r="B61">
        <v>0</v>
      </c>
      <c r="C61" s="252" t="s">
        <v>396</v>
      </c>
      <c r="D61" s="253" t="s">
        <v>395</v>
      </c>
      <c r="E61" s="252" t="s">
        <v>115</v>
      </c>
      <c r="F61" s="252" t="s">
        <v>116</v>
      </c>
      <c r="G61" s="350">
        <v>2</v>
      </c>
      <c r="H61" s="351">
        <v>3</v>
      </c>
      <c r="I61">
        <v>0</v>
      </c>
      <c r="J61">
        <v>0</v>
      </c>
      <c r="K61" s="20">
        <v>7.666601738235606</v>
      </c>
      <c r="L61" s="20">
        <v>4.1186507936507937</v>
      </c>
      <c r="M61" s="20">
        <v>2.2441955526487902</v>
      </c>
      <c r="N61" s="20">
        <v>6.6651829322552754</v>
      </c>
      <c r="O61" s="240">
        <v>63</v>
      </c>
      <c r="P61" s="20">
        <v>6.1157213157213164</v>
      </c>
      <c r="Q61" s="20">
        <v>7.8466898954703836</v>
      </c>
      <c r="R61" s="232">
        <v>86</v>
      </c>
      <c r="S61" s="20">
        <v>4.1058759523005053</v>
      </c>
      <c r="T61" s="20">
        <v>5.7051686464480866</v>
      </c>
      <c r="U61" s="20">
        <v>5.5773809523809526</v>
      </c>
      <c r="V61" s="20">
        <v>7.8571428571428568</v>
      </c>
      <c r="W61" s="232">
        <v>50</v>
      </c>
      <c r="X61" s="239">
        <v>199</v>
      </c>
      <c r="Y61" s="236">
        <f t="shared" si="1"/>
        <v>18.831739751736102</v>
      </c>
    </row>
    <row r="62" spans="1:25">
      <c r="A62">
        <v>39</v>
      </c>
      <c r="B62">
        <v>0</v>
      </c>
      <c r="C62" s="252" t="s">
        <v>281</v>
      </c>
      <c r="D62" s="253" t="s">
        <v>280</v>
      </c>
      <c r="E62" s="252" t="s">
        <v>107</v>
      </c>
      <c r="F62" s="252" t="s">
        <v>133</v>
      </c>
      <c r="G62" s="350">
        <v>4</v>
      </c>
      <c r="H62" s="351">
        <v>3</v>
      </c>
      <c r="I62">
        <v>0</v>
      </c>
      <c r="J62">
        <v>0</v>
      </c>
      <c r="K62" s="20">
        <v>6.2030985316585205</v>
      </c>
      <c r="L62" s="20">
        <v>4.9785714285714286</v>
      </c>
      <c r="M62" s="20">
        <v>1.8145029431000654</v>
      </c>
      <c r="N62" s="20">
        <v>4.9748357056253543</v>
      </c>
      <c r="O62" s="240">
        <v>118</v>
      </c>
      <c r="P62" s="20">
        <v>5.3277777777777775</v>
      </c>
      <c r="Q62" s="20">
        <v>1</v>
      </c>
      <c r="R62" s="232">
        <v>163</v>
      </c>
      <c r="S62" s="20">
        <v>1.0795460042659586</v>
      </c>
      <c r="T62" s="20">
        <v>3.8293632868728262</v>
      </c>
      <c r="U62" s="20">
        <v>7.1428571428571432</v>
      </c>
      <c r="V62" s="20">
        <v>7.1428571428571432</v>
      </c>
      <c r="W62" s="232">
        <v>101</v>
      </c>
      <c r="X62" s="239">
        <v>382</v>
      </c>
      <c r="Y62" s="236">
        <f t="shared" si="1"/>
        <v>10.29140804645211</v>
      </c>
    </row>
    <row r="63" spans="1:25">
      <c r="A63">
        <v>40</v>
      </c>
      <c r="B63">
        <v>0</v>
      </c>
      <c r="C63" s="252" t="s">
        <v>366</v>
      </c>
      <c r="D63" s="253" t="s">
        <v>365</v>
      </c>
      <c r="E63" s="252" t="s">
        <v>107</v>
      </c>
      <c r="F63" s="252" t="s">
        <v>122</v>
      </c>
      <c r="G63" s="350">
        <v>3</v>
      </c>
      <c r="H63" s="351">
        <v>3</v>
      </c>
      <c r="I63">
        <v>0</v>
      </c>
      <c r="J63">
        <v>0</v>
      </c>
      <c r="K63" s="305">
        <v>4.7649888961031568</v>
      </c>
      <c r="L63" s="305">
        <v>6.8357142857142854</v>
      </c>
      <c r="M63" s="305">
        <v>2.0684924787442771</v>
      </c>
      <c r="N63" s="305">
        <v>5.8736964895305475</v>
      </c>
      <c r="O63" s="240">
        <v>84</v>
      </c>
      <c r="P63" s="305">
        <v>7.8934343434343441</v>
      </c>
      <c r="Q63" s="305">
        <v>7.4599303135888499</v>
      </c>
      <c r="R63" s="232">
        <v>36</v>
      </c>
      <c r="S63" s="305">
        <v>3.7488919439443613</v>
      </c>
      <c r="T63" s="20">
        <v>4.6182678957552428</v>
      </c>
      <c r="U63" s="305">
        <v>6.4285714285714288</v>
      </c>
      <c r="V63" s="305">
        <v>7.1428571428571432</v>
      </c>
      <c r="W63" s="232">
        <v>61</v>
      </c>
      <c r="X63" s="239">
        <v>181</v>
      </c>
      <c r="Y63" s="236">
        <f t="shared" si="1"/>
        <v>17.830300453893962</v>
      </c>
    </row>
    <row r="64" spans="1:25">
      <c r="A64">
        <v>41</v>
      </c>
      <c r="B64">
        <v>0</v>
      </c>
      <c r="C64" s="252" t="s">
        <v>594</v>
      </c>
      <c r="D64" s="253" t="s">
        <v>593</v>
      </c>
      <c r="E64" s="252" t="s">
        <v>115</v>
      </c>
      <c r="F64" s="252" t="s">
        <v>124</v>
      </c>
      <c r="G64" s="350">
        <v>2</v>
      </c>
      <c r="H64" s="351">
        <v>2</v>
      </c>
      <c r="I64">
        <v>0</v>
      </c>
      <c r="J64">
        <v>0</v>
      </c>
      <c r="K64" s="305">
        <v>8.8907618822733916</v>
      </c>
      <c r="L64" s="305">
        <v>6.8090136054421766</v>
      </c>
      <c r="M64" s="305">
        <v>2.3208633093525179</v>
      </c>
      <c r="N64" s="305">
        <v>6.2890599306646706</v>
      </c>
      <c r="O64" s="240">
        <v>21</v>
      </c>
      <c r="P64" s="305">
        <v>7.1212509712509711</v>
      </c>
      <c r="Q64" s="305">
        <v>7.8885017421602797</v>
      </c>
      <c r="R64" s="232">
        <v>46</v>
      </c>
      <c r="S64" s="305">
        <v>4.4020988438872948</v>
      </c>
      <c r="T64" s="20">
        <v>4.9932119168645892</v>
      </c>
      <c r="U64" s="305">
        <v>7.1003401360544212</v>
      </c>
      <c r="V64" s="305">
        <v>9.3877551020408152</v>
      </c>
      <c r="W64" s="232">
        <v>18</v>
      </c>
      <c r="X64" s="239">
        <v>85</v>
      </c>
      <c r="Y64" s="236">
        <f t="shared" si="1"/>
        <v>20.436777923805248</v>
      </c>
    </row>
    <row r="65" spans="1:25">
      <c r="A65">
        <v>42</v>
      </c>
      <c r="B65">
        <v>0</v>
      </c>
      <c r="C65" s="252" t="s">
        <v>388</v>
      </c>
      <c r="D65" s="253" t="s">
        <v>387</v>
      </c>
      <c r="E65" s="252" t="s">
        <v>115</v>
      </c>
      <c r="F65" s="252" t="s">
        <v>118</v>
      </c>
      <c r="G65" s="350">
        <v>2</v>
      </c>
      <c r="H65" s="351">
        <v>1</v>
      </c>
      <c r="I65">
        <v>0</v>
      </c>
      <c r="J65">
        <v>0</v>
      </c>
      <c r="K65" s="20">
        <v>8.7705235208158889</v>
      </c>
      <c r="L65" s="20">
        <v>5.4039682539682534</v>
      </c>
      <c r="M65" s="20">
        <v>7.3060824068018313</v>
      </c>
      <c r="N65" s="20">
        <v>6.3941551483042511</v>
      </c>
      <c r="O65" s="240">
        <v>1</v>
      </c>
      <c r="P65" s="20">
        <v>7.645053095053095</v>
      </c>
      <c r="Q65" s="20">
        <v>3.7909407665505226</v>
      </c>
      <c r="R65" s="232">
        <v>145</v>
      </c>
      <c r="S65" s="20">
        <v>3.8842703886616561</v>
      </c>
      <c r="T65" s="20">
        <v>5.5379216499372443</v>
      </c>
      <c r="U65" s="20">
        <v>5.3428571428571425</v>
      </c>
      <c r="V65" s="20">
        <v>7.6190476190476186</v>
      </c>
      <c r="W65" s="232">
        <v>58</v>
      </c>
      <c r="X65" s="239">
        <v>204</v>
      </c>
      <c r="Y65" s="236">
        <f t="shared" si="1"/>
        <v>16.355647299148991</v>
      </c>
    </row>
    <row r="66" spans="1:25">
      <c r="A66">
        <v>44</v>
      </c>
      <c r="B66">
        <v>0</v>
      </c>
      <c r="C66" s="252" t="s">
        <v>580</v>
      </c>
      <c r="D66" s="253" t="s">
        <v>579</v>
      </c>
      <c r="E66" s="252" t="s">
        <v>111</v>
      </c>
      <c r="F66" s="252" t="s">
        <v>110</v>
      </c>
      <c r="G66" s="350">
        <v>1</v>
      </c>
      <c r="H66" s="351">
        <v>2</v>
      </c>
      <c r="I66">
        <v>1</v>
      </c>
      <c r="J66">
        <v>0</v>
      </c>
      <c r="K66" s="20">
        <v>8.1728936016850469</v>
      </c>
      <c r="L66" s="20">
        <v>6.450793650793651</v>
      </c>
      <c r="M66" s="20">
        <v>6.0836657946370174</v>
      </c>
      <c r="N66" s="20">
        <v>6.0895341059234331</v>
      </c>
      <c r="O66" s="240">
        <v>4</v>
      </c>
      <c r="P66" s="20">
        <v>7.7990287490287491</v>
      </c>
      <c r="Q66" s="20">
        <v>8.2961672473867587</v>
      </c>
      <c r="R66" s="232">
        <v>10</v>
      </c>
      <c r="S66" s="20">
        <v>3.4475938975027476</v>
      </c>
      <c r="T66" s="20">
        <v>6.3720087690445162</v>
      </c>
      <c r="U66" s="20">
        <v>6.9206349206349209</v>
      </c>
      <c r="V66" s="20">
        <v>7.1428571428571432</v>
      </c>
      <c r="W66" s="232">
        <v>41</v>
      </c>
      <c r="X66" s="239">
        <v>55</v>
      </c>
      <c r="Y66" s="236">
        <f t="shared" ref="Y66:Y97" si="2">(((AVERAGE(K66:N66)+AVERAGE(Q66+AVERAGE(S66:V66)))))</f>
        <v>20.966162718156379</v>
      </c>
    </row>
    <row r="67" spans="1:25">
      <c r="A67">
        <v>46</v>
      </c>
      <c r="B67">
        <v>0</v>
      </c>
      <c r="C67" s="252" t="s">
        <v>305</v>
      </c>
      <c r="D67" s="253" t="s">
        <v>304</v>
      </c>
      <c r="E67" s="252" t="s">
        <v>107</v>
      </c>
      <c r="F67" s="252" t="s">
        <v>121</v>
      </c>
      <c r="G67" s="350">
        <v>4</v>
      </c>
      <c r="H67" s="351">
        <v>3</v>
      </c>
      <c r="I67">
        <v>0</v>
      </c>
      <c r="J67">
        <v>0</v>
      </c>
      <c r="K67" s="20">
        <v>3.5271855861649852</v>
      </c>
      <c r="L67" s="20">
        <v>2.6438095238095238</v>
      </c>
      <c r="M67" s="20">
        <v>1.1810006540222369</v>
      </c>
      <c r="N67" s="20">
        <v>6.0069263614374799</v>
      </c>
      <c r="O67" s="240">
        <v>161</v>
      </c>
      <c r="P67" s="20">
        <v>7.6749676249676249</v>
      </c>
      <c r="Q67" s="20">
        <v>6.3310104529616726</v>
      </c>
      <c r="R67" s="232">
        <v>83</v>
      </c>
      <c r="S67" s="20">
        <v>2.6896875773229607</v>
      </c>
      <c r="T67" s="20">
        <v>2.2638756622825982</v>
      </c>
      <c r="U67" s="20">
        <v>2.5714285714285712</v>
      </c>
      <c r="V67" s="20">
        <v>3.5714285714285716</v>
      </c>
      <c r="W67" s="232">
        <v>157</v>
      </c>
      <c r="X67" s="239">
        <v>401</v>
      </c>
      <c r="Y67" s="236">
        <f t="shared" si="2"/>
        <v>12.444846079935905</v>
      </c>
    </row>
    <row r="68" spans="1:25">
      <c r="A68">
        <v>47</v>
      </c>
      <c r="B68">
        <v>0</v>
      </c>
      <c r="C68" s="252" t="s">
        <v>632</v>
      </c>
      <c r="D68" s="253" t="s">
        <v>631</v>
      </c>
      <c r="E68" s="252" t="s">
        <v>115</v>
      </c>
      <c r="F68" s="252" t="s">
        <v>118</v>
      </c>
      <c r="G68" s="350">
        <v>3</v>
      </c>
      <c r="H68" s="351">
        <v>3</v>
      </c>
      <c r="I68">
        <v>0</v>
      </c>
      <c r="J68">
        <v>0</v>
      </c>
      <c r="K68" s="20">
        <v>6.9690410394435061</v>
      </c>
      <c r="L68" s="20">
        <v>6.9571428571428573</v>
      </c>
      <c r="M68" s="20">
        <v>4.9574885546108565</v>
      </c>
      <c r="N68" s="20">
        <v>6.6519331189968778</v>
      </c>
      <c r="O68" s="240">
        <v>11</v>
      </c>
      <c r="P68" s="20">
        <v>7.5324527324527324</v>
      </c>
      <c r="Q68" s="20">
        <v>7.6062717770034851</v>
      </c>
      <c r="R68" s="232">
        <v>43</v>
      </c>
      <c r="S68" s="20">
        <v>1.9875859962650491</v>
      </c>
      <c r="T68" s="20">
        <v>4.634739649172861</v>
      </c>
      <c r="U68" s="20">
        <v>6.1428571428571423</v>
      </c>
      <c r="V68" s="20">
        <v>9.1428571428571441</v>
      </c>
      <c r="W68" s="232">
        <v>62</v>
      </c>
      <c r="X68" s="239">
        <v>116</v>
      </c>
      <c r="Y68" s="236">
        <f t="shared" si="2"/>
        <v>19.467183152340059</v>
      </c>
    </row>
    <row r="69" spans="1:25">
      <c r="A69">
        <v>49</v>
      </c>
      <c r="B69">
        <v>0</v>
      </c>
      <c r="C69" s="252" t="s">
        <v>364</v>
      </c>
      <c r="D69" s="253" t="s">
        <v>363</v>
      </c>
      <c r="E69" s="252" t="s">
        <v>115</v>
      </c>
      <c r="F69" s="252" t="s">
        <v>118</v>
      </c>
      <c r="G69" s="350">
        <v>3</v>
      </c>
      <c r="H69" s="351">
        <v>3</v>
      </c>
      <c r="I69">
        <v>0</v>
      </c>
      <c r="J69">
        <v>0</v>
      </c>
      <c r="K69" s="20">
        <v>6.8418332577607899</v>
      </c>
      <c r="L69" s="20">
        <v>4.3841269841269845</v>
      </c>
      <c r="M69" s="20">
        <v>2.6055591890124266</v>
      </c>
      <c r="N69" s="20">
        <v>5.7065070727729612</v>
      </c>
      <c r="O69" s="240">
        <v>85</v>
      </c>
      <c r="P69" s="20">
        <v>7.5360787360787356</v>
      </c>
      <c r="Q69" s="20">
        <v>7.3031358885017417</v>
      </c>
      <c r="R69" s="232">
        <v>55</v>
      </c>
      <c r="S69" s="20">
        <v>4.0908241817350941</v>
      </c>
      <c r="T69" s="20">
        <v>4.6305453697172512</v>
      </c>
      <c r="U69" s="20">
        <v>6.1111111111111116</v>
      </c>
      <c r="V69" s="20">
        <v>6.4285714285714288</v>
      </c>
      <c r="W69" s="232">
        <v>71</v>
      </c>
      <c r="X69" s="239">
        <v>211</v>
      </c>
      <c r="Y69" s="236">
        <f t="shared" si="2"/>
        <v>17.502905537203755</v>
      </c>
    </row>
    <row r="70" spans="1:25">
      <c r="A70">
        <v>50</v>
      </c>
      <c r="B70">
        <v>0</v>
      </c>
      <c r="C70" s="252" t="s">
        <v>406</v>
      </c>
      <c r="D70" s="253" t="s">
        <v>405</v>
      </c>
      <c r="E70" s="252" t="s">
        <v>113</v>
      </c>
      <c r="F70" s="252" t="s">
        <v>134</v>
      </c>
      <c r="G70" s="350">
        <v>2</v>
      </c>
      <c r="H70" s="351">
        <v>3</v>
      </c>
      <c r="I70">
        <v>0</v>
      </c>
      <c r="J70">
        <v>0</v>
      </c>
      <c r="K70" s="305">
        <v>6.9787577517323758</v>
      </c>
      <c r="L70" s="305">
        <v>3.447857142857143</v>
      </c>
      <c r="M70" s="305">
        <v>2.4401079136690651</v>
      </c>
      <c r="N70" s="305">
        <v>6.5350513756038424</v>
      </c>
      <c r="O70" s="240">
        <v>92</v>
      </c>
      <c r="P70" s="305">
        <v>8.008145558145559</v>
      </c>
      <c r="Q70" s="305">
        <v>6.9477351916376318</v>
      </c>
      <c r="R70" s="232">
        <v>49</v>
      </c>
      <c r="S70" s="305">
        <v>3.2772962483307033</v>
      </c>
      <c r="T70" s="20">
        <v>5.4046892722038997</v>
      </c>
      <c r="U70" s="305">
        <v>4.7619047619047619</v>
      </c>
      <c r="V70" s="305">
        <v>7.6190476190476186</v>
      </c>
      <c r="W70" s="232">
        <v>74</v>
      </c>
      <c r="X70" s="239">
        <v>215</v>
      </c>
      <c r="Y70" s="236">
        <f t="shared" si="2"/>
        <v>17.063913212974985</v>
      </c>
    </row>
    <row r="71" spans="1:25">
      <c r="A71">
        <v>51</v>
      </c>
      <c r="B71">
        <v>0</v>
      </c>
      <c r="C71" s="252" t="s">
        <v>428</v>
      </c>
      <c r="D71" s="253" t="s">
        <v>427</v>
      </c>
      <c r="E71" s="252" t="s">
        <v>115</v>
      </c>
      <c r="F71" s="252" t="s">
        <v>116</v>
      </c>
      <c r="G71" s="350">
        <v>2</v>
      </c>
      <c r="H71" s="351">
        <v>3</v>
      </c>
      <c r="I71">
        <v>0</v>
      </c>
      <c r="J71">
        <v>0</v>
      </c>
      <c r="K71" s="20">
        <v>7.797359641954472</v>
      </c>
      <c r="L71" s="20">
        <v>4.4765716631480181</v>
      </c>
      <c r="M71" s="20">
        <v>2.2033355134074557</v>
      </c>
      <c r="N71" s="20">
        <v>6.408366821686311</v>
      </c>
      <c r="O71" s="240">
        <v>58</v>
      </c>
      <c r="P71" s="20">
        <v>2.7937062937062938</v>
      </c>
      <c r="Q71" s="20">
        <v>6.1533101045296172</v>
      </c>
      <c r="R71" s="232">
        <v>149</v>
      </c>
      <c r="S71" s="20">
        <v>3.5379241099634733</v>
      </c>
      <c r="T71" s="20">
        <v>5.4831592843209691</v>
      </c>
      <c r="U71" s="20">
        <v>6.6277269528501064</v>
      </c>
      <c r="V71" s="20">
        <v>9.7278911564625847</v>
      </c>
      <c r="W71" s="232">
        <v>22</v>
      </c>
      <c r="X71" s="239">
        <v>229</v>
      </c>
      <c r="Y71" s="236">
        <f t="shared" si="2"/>
        <v>17.718893890477965</v>
      </c>
    </row>
    <row r="72" spans="1:25">
      <c r="A72">
        <v>52</v>
      </c>
      <c r="B72">
        <v>0</v>
      </c>
      <c r="C72" s="252" t="s">
        <v>606</v>
      </c>
      <c r="D72" s="253" t="s">
        <v>135</v>
      </c>
      <c r="E72" s="252" t="s">
        <v>113</v>
      </c>
      <c r="F72" s="252" t="s">
        <v>134</v>
      </c>
      <c r="G72" s="350">
        <v>3</v>
      </c>
      <c r="H72" s="351">
        <v>3</v>
      </c>
      <c r="I72">
        <v>0</v>
      </c>
      <c r="J72">
        <v>0</v>
      </c>
      <c r="K72" s="305">
        <v>7.2420596942892441</v>
      </c>
      <c r="L72" s="305">
        <v>5.3654761904761905</v>
      </c>
      <c r="M72" s="305">
        <v>3.3366742969260956</v>
      </c>
      <c r="N72" s="305">
        <v>5.6839370682659238</v>
      </c>
      <c r="O72" s="240">
        <v>50</v>
      </c>
      <c r="P72" s="305">
        <v>8.4190753690753688</v>
      </c>
      <c r="Q72" s="305">
        <v>7.1672473867595823</v>
      </c>
      <c r="R72" s="232">
        <v>26</v>
      </c>
      <c r="S72" s="305">
        <v>3.8574422906786539</v>
      </c>
      <c r="T72" s="20">
        <v>5.7075758584538656</v>
      </c>
      <c r="U72" s="305">
        <v>7.4702380952380949</v>
      </c>
      <c r="V72" s="305">
        <v>8.3333333333333321</v>
      </c>
      <c r="W72" s="232">
        <v>23</v>
      </c>
      <c r="X72" s="239">
        <v>99</v>
      </c>
      <c r="Y72" s="236">
        <f t="shared" si="2"/>
        <v>18.916431593674933</v>
      </c>
    </row>
    <row r="73" spans="1:25">
      <c r="A73">
        <v>53</v>
      </c>
      <c r="B73">
        <v>0</v>
      </c>
      <c r="C73" s="252" t="s">
        <v>287</v>
      </c>
      <c r="D73" s="253" t="s">
        <v>286</v>
      </c>
      <c r="E73" s="252" t="s">
        <v>107</v>
      </c>
      <c r="F73" s="252" t="s">
        <v>121</v>
      </c>
      <c r="G73" s="350"/>
      <c r="H73" s="351">
        <v>4</v>
      </c>
      <c r="I73">
        <v>0</v>
      </c>
      <c r="J73">
        <v>0</v>
      </c>
      <c r="K73" s="305">
        <v>6.2141021695667211</v>
      </c>
      <c r="L73" s="305">
        <v>3.8544444444444448</v>
      </c>
      <c r="M73" s="305">
        <v>1.4225801177240025</v>
      </c>
      <c r="N73" s="305">
        <v>4.8564887555479634</v>
      </c>
      <c r="O73" s="240">
        <v>137</v>
      </c>
      <c r="P73" s="305">
        <v>7.5472286972286975</v>
      </c>
      <c r="Q73" s="305">
        <v>4.6898954703832754</v>
      </c>
      <c r="R73" s="232">
        <v>139</v>
      </c>
      <c r="S73" s="305">
        <v>1.0500265923501921</v>
      </c>
      <c r="T73" s="20">
        <v>3.8703555807587744</v>
      </c>
      <c r="U73" s="305">
        <v>4.7142857142857144</v>
      </c>
      <c r="V73" s="305">
        <v>6.1904761904761898</v>
      </c>
      <c r="W73" s="232">
        <v>141</v>
      </c>
      <c r="X73" s="239">
        <v>417</v>
      </c>
      <c r="Y73" s="236">
        <f t="shared" si="2"/>
        <v>12.733085361671776</v>
      </c>
    </row>
    <row r="74" spans="1:25">
      <c r="A74">
        <v>55</v>
      </c>
      <c r="B74">
        <v>0</v>
      </c>
      <c r="C74" s="252" t="s">
        <v>574</v>
      </c>
      <c r="D74" s="253" t="s">
        <v>573</v>
      </c>
      <c r="E74" s="252" t="s">
        <v>111</v>
      </c>
      <c r="F74" s="252" t="s">
        <v>110</v>
      </c>
      <c r="G74" s="350">
        <v>1</v>
      </c>
      <c r="H74" s="351">
        <v>2</v>
      </c>
      <c r="I74">
        <v>0</v>
      </c>
      <c r="J74">
        <v>0</v>
      </c>
      <c r="K74" s="20">
        <v>7.6669107607079354</v>
      </c>
      <c r="L74" s="20">
        <v>7.1904761904761898</v>
      </c>
      <c r="M74" s="20">
        <v>5.0834041857423156</v>
      </c>
      <c r="N74" s="20">
        <v>6.2504275154557281</v>
      </c>
      <c r="O74" s="240">
        <v>6</v>
      </c>
      <c r="P74" s="20">
        <v>7.9341750841750844</v>
      </c>
      <c r="Q74" s="20">
        <v>8.8083623693379813</v>
      </c>
      <c r="R74" s="232">
        <v>4</v>
      </c>
      <c r="S74" s="20">
        <v>2.7946561712949376</v>
      </c>
      <c r="T74" s="20">
        <v>5.3858658224831837</v>
      </c>
      <c r="U74" s="20">
        <v>7.5476190476190474</v>
      </c>
      <c r="V74" s="20">
        <v>8.0952380952380949</v>
      </c>
      <c r="W74" s="232">
        <v>42</v>
      </c>
      <c r="X74" s="239">
        <v>52</v>
      </c>
      <c r="Y74" s="236">
        <f t="shared" si="2"/>
        <v>21.312011816592339</v>
      </c>
    </row>
    <row r="75" spans="1:25">
      <c r="A75">
        <v>56</v>
      </c>
      <c r="B75">
        <v>0</v>
      </c>
      <c r="C75" s="252" t="s">
        <v>422</v>
      </c>
      <c r="D75" s="253" t="s">
        <v>421</v>
      </c>
      <c r="E75" s="252" t="s">
        <v>107</v>
      </c>
      <c r="F75" s="252" t="s">
        <v>121</v>
      </c>
      <c r="G75" s="350">
        <v>4</v>
      </c>
      <c r="H75" s="351">
        <v>3</v>
      </c>
      <c r="I75">
        <v>0</v>
      </c>
      <c r="J75">
        <v>0</v>
      </c>
      <c r="K75" s="20">
        <v>5.4303129805817534</v>
      </c>
      <c r="L75" s="20">
        <v>4.4012698412698414</v>
      </c>
      <c r="M75" s="20">
        <v>1.0988391105297581</v>
      </c>
      <c r="N75" s="20">
        <v>5.1477779445166876</v>
      </c>
      <c r="O75" s="240">
        <v>141</v>
      </c>
      <c r="P75" s="20">
        <v>7.2158508158508159</v>
      </c>
      <c r="Q75" s="20">
        <v>6.3519163763066206</v>
      </c>
      <c r="R75" s="232">
        <v>113</v>
      </c>
      <c r="S75" s="20">
        <v>2.2859849076519478</v>
      </c>
      <c r="T75" s="20">
        <v>6.2549831596909122</v>
      </c>
      <c r="U75" s="20">
        <v>6.6428571428571432</v>
      </c>
      <c r="V75" s="20">
        <v>9.5238095238095237</v>
      </c>
      <c r="W75" s="232">
        <v>31</v>
      </c>
      <c r="X75" s="239">
        <v>285</v>
      </c>
      <c r="Y75" s="236">
        <f t="shared" si="2"/>
        <v>16.548375029033512</v>
      </c>
    </row>
    <row r="76" spans="1:25">
      <c r="A76">
        <v>58</v>
      </c>
      <c r="B76">
        <v>0</v>
      </c>
      <c r="C76" s="252" t="s">
        <v>642</v>
      </c>
      <c r="D76" s="253" t="s">
        <v>641</v>
      </c>
      <c r="E76" s="252" t="s">
        <v>119</v>
      </c>
      <c r="F76" s="252" t="s">
        <v>136</v>
      </c>
      <c r="G76" s="350">
        <v>3</v>
      </c>
      <c r="H76" s="351">
        <v>3</v>
      </c>
      <c r="I76">
        <v>0</v>
      </c>
      <c r="J76">
        <v>0</v>
      </c>
      <c r="K76" s="20">
        <v>7.866468107575292</v>
      </c>
      <c r="L76" s="20">
        <v>4.0644841269841265</v>
      </c>
      <c r="M76" s="20">
        <v>1.9866742969260955</v>
      </c>
      <c r="N76" s="20">
        <v>6.041673243852955</v>
      </c>
      <c r="O76" s="240">
        <v>74</v>
      </c>
      <c r="P76" s="20">
        <v>7.3490416990416989</v>
      </c>
      <c r="Q76" s="20">
        <v>7.3031358885017417</v>
      </c>
      <c r="R76" s="232">
        <v>62</v>
      </c>
      <c r="S76" s="20">
        <v>1.2992284709252233</v>
      </c>
      <c r="T76" s="20">
        <v>4.6761195800041033</v>
      </c>
      <c r="U76" s="20">
        <v>7.7134353741496602</v>
      </c>
      <c r="V76" s="20">
        <v>9.2857142857142865</v>
      </c>
      <c r="W76" s="232">
        <v>53</v>
      </c>
      <c r="X76" s="239">
        <v>189</v>
      </c>
      <c r="Y76" s="236">
        <f t="shared" si="2"/>
        <v>18.036585260034677</v>
      </c>
    </row>
    <row r="77" spans="1:25">
      <c r="A77">
        <v>60</v>
      </c>
      <c r="B77">
        <v>0</v>
      </c>
      <c r="C77" s="252" t="s">
        <v>454</v>
      </c>
      <c r="D77" s="253" t="s">
        <v>137</v>
      </c>
      <c r="E77" s="252" t="s">
        <v>119</v>
      </c>
      <c r="F77" s="252" t="s">
        <v>136</v>
      </c>
      <c r="G77" s="350">
        <v>3</v>
      </c>
      <c r="H77" s="351">
        <v>3</v>
      </c>
      <c r="I77">
        <v>0</v>
      </c>
      <c r="J77">
        <v>0</v>
      </c>
      <c r="K77" s="305">
        <v>6.348954517304124</v>
      </c>
      <c r="L77" s="305">
        <v>4.2857142857142856</v>
      </c>
      <c r="M77" s="305">
        <v>2.4433453237410072</v>
      </c>
      <c r="N77" s="305">
        <v>5.1163576989228599</v>
      </c>
      <c r="O77" s="240">
        <v>113</v>
      </c>
      <c r="P77" s="305">
        <v>7.5471898471898466</v>
      </c>
      <c r="Q77" s="305">
        <v>1</v>
      </c>
      <c r="R77" s="232">
        <v>157</v>
      </c>
      <c r="S77" s="305">
        <v>1.2847150116875097</v>
      </c>
      <c r="T77" s="20">
        <v>4.4324629060452239</v>
      </c>
      <c r="U77" s="305">
        <v>7.8571428571428568</v>
      </c>
      <c r="V77" s="305">
        <v>7.8571428571428568</v>
      </c>
      <c r="W77" s="232">
        <v>67</v>
      </c>
      <c r="X77" s="239">
        <v>337</v>
      </c>
      <c r="Y77" s="236">
        <f t="shared" si="2"/>
        <v>10.906458864425181</v>
      </c>
    </row>
    <row r="78" spans="1:25">
      <c r="A78">
        <v>61</v>
      </c>
      <c r="B78">
        <v>0</v>
      </c>
      <c r="C78" s="252" t="s">
        <v>390</v>
      </c>
      <c r="D78" s="253" t="s">
        <v>389</v>
      </c>
      <c r="E78" s="252" t="s">
        <v>107</v>
      </c>
      <c r="F78" s="252" t="s">
        <v>126</v>
      </c>
      <c r="G78" s="350">
        <v>3</v>
      </c>
      <c r="H78" s="351">
        <v>3</v>
      </c>
      <c r="I78">
        <v>0</v>
      </c>
      <c r="J78">
        <v>0</v>
      </c>
      <c r="K78" s="305">
        <v>6.0117155137604312</v>
      </c>
      <c r="L78" s="305">
        <v>4.4357142857142859</v>
      </c>
      <c r="M78" s="305">
        <v>1.6185905820797908</v>
      </c>
      <c r="N78" s="305">
        <v>6.8168316490302496</v>
      </c>
      <c r="O78" s="240">
        <v>99</v>
      </c>
      <c r="P78" s="305">
        <v>7.3212639212639203</v>
      </c>
      <c r="Q78" s="305">
        <v>6.7909407665505226</v>
      </c>
      <c r="R78" s="232">
        <v>82</v>
      </c>
      <c r="S78" s="305">
        <v>1.1748680600338817</v>
      </c>
      <c r="T78" s="20">
        <v>4.6006878391621004</v>
      </c>
      <c r="U78" s="305">
        <v>5.0238095238095246</v>
      </c>
      <c r="V78" s="305">
        <v>7.8571428571428568</v>
      </c>
      <c r="W78" s="232">
        <v>108</v>
      </c>
      <c r="X78" s="239">
        <v>289</v>
      </c>
      <c r="Y78" s="236">
        <f t="shared" si="2"/>
        <v>16.175780844233802</v>
      </c>
    </row>
    <row r="79" spans="1:25">
      <c r="A79">
        <v>63</v>
      </c>
      <c r="B79">
        <v>0</v>
      </c>
      <c r="C79" s="252" t="s">
        <v>628</v>
      </c>
      <c r="D79" s="253" t="s">
        <v>627</v>
      </c>
      <c r="E79" s="252" t="s">
        <v>109</v>
      </c>
      <c r="F79" s="252" t="s">
        <v>117</v>
      </c>
      <c r="G79" s="350">
        <v>2</v>
      </c>
      <c r="H79" s="351">
        <v>3</v>
      </c>
      <c r="I79">
        <v>0</v>
      </c>
      <c r="J79">
        <v>0</v>
      </c>
      <c r="K79" s="20">
        <v>6.842678818697765</v>
      </c>
      <c r="L79" s="20">
        <v>4.1638095238095234</v>
      </c>
      <c r="M79" s="20">
        <v>5.163799869195552</v>
      </c>
      <c r="N79" s="20">
        <v>5.8389001451937439</v>
      </c>
      <c r="O79" s="240">
        <v>41</v>
      </c>
      <c r="P79" s="20">
        <v>7.7416342916342913</v>
      </c>
      <c r="Q79" s="20">
        <v>8.3588850174216027</v>
      </c>
      <c r="R79" s="232">
        <v>8</v>
      </c>
      <c r="S79" s="20">
        <v>2.9690445878097123</v>
      </c>
      <c r="T79" s="20">
        <v>4.6168445390262445</v>
      </c>
      <c r="U79" s="20">
        <v>6.8095238095238102</v>
      </c>
      <c r="V79" s="20">
        <v>6.4285714285714288</v>
      </c>
      <c r="W79" s="232">
        <v>81</v>
      </c>
      <c r="X79" s="239">
        <v>130</v>
      </c>
      <c r="Y79" s="236">
        <f t="shared" si="2"/>
        <v>19.067178197878548</v>
      </c>
    </row>
    <row r="80" spans="1:25">
      <c r="A80">
        <v>64</v>
      </c>
      <c r="B80">
        <v>0</v>
      </c>
      <c r="C80" s="252" t="s">
        <v>436</v>
      </c>
      <c r="D80" s="253" t="s">
        <v>435</v>
      </c>
      <c r="E80" s="252" t="s">
        <v>107</v>
      </c>
      <c r="F80" s="252" t="s">
        <v>122</v>
      </c>
      <c r="G80" s="350">
        <v>4</v>
      </c>
      <c r="H80" s="351">
        <v>3</v>
      </c>
      <c r="I80">
        <v>0</v>
      </c>
      <c r="J80">
        <v>0</v>
      </c>
      <c r="K80" s="20">
        <v>6.530649185089298</v>
      </c>
      <c r="L80" s="20">
        <v>5.7404761904761905</v>
      </c>
      <c r="M80" s="20">
        <v>1.3663669064748201</v>
      </c>
      <c r="N80" s="20">
        <v>5.5517937051673769</v>
      </c>
      <c r="O80" s="240">
        <v>96</v>
      </c>
      <c r="P80" s="20">
        <v>6.6085599585599581</v>
      </c>
      <c r="Q80" s="20">
        <v>7.2926829268292694</v>
      </c>
      <c r="R80" s="232">
        <v>90</v>
      </c>
      <c r="S80" s="20">
        <v>2.7604150248427017</v>
      </c>
      <c r="T80" s="20">
        <v>5.5779831880477353</v>
      </c>
      <c r="U80" s="20">
        <v>5.9285714285714279</v>
      </c>
      <c r="V80" s="20">
        <v>6.6666666666666679</v>
      </c>
      <c r="W80" s="232">
        <v>78</v>
      </c>
      <c r="X80" s="239">
        <v>264</v>
      </c>
      <c r="Y80" s="236">
        <f t="shared" si="2"/>
        <v>17.323413500663325</v>
      </c>
    </row>
    <row r="81" spans="1:25">
      <c r="A81">
        <v>65</v>
      </c>
      <c r="B81">
        <v>0</v>
      </c>
      <c r="C81" s="252" t="s">
        <v>275</v>
      </c>
      <c r="D81" s="253" t="s">
        <v>274</v>
      </c>
      <c r="E81" s="252" t="s">
        <v>107</v>
      </c>
      <c r="F81" s="252" t="s">
        <v>122</v>
      </c>
      <c r="G81" s="350">
        <v>4</v>
      </c>
      <c r="H81" s="351">
        <v>3</v>
      </c>
      <c r="I81">
        <v>0</v>
      </c>
      <c r="J81">
        <v>0</v>
      </c>
      <c r="K81" s="20">
        <v>6.11962157916461</v>
      </c>
      <c r="L81" s="20">
        <v>3.6571428571428575</v>
      </c>
      <c r="M81" s="20">
        <v>1.1653041203400916</v>
      </c>
      <c r="N81" s="20">
        <v>4.9626466359424404</v>
      </c>
      <c r="O81" s="240">
        <v>143</v>
      </c>
      <c r="P81" s="20">
        <v>7.3842916342916336</v>
      </c>
      <c r="Q81" s="20">
        <v>6.4146341463414638</v>
      </c>
      <c r="R81" s="232">
        <v>98</v>
      </c>
      <c r="S81" s="20">
        <v>2.3099282656718789</v>
      </c>
      <c r="T81" s="20">
        <v>3.0635003703104138</v>
      </c>
      <c r="U81" s="20">
        <v>5</v>
      </c>
      <c r="V81" s="20">
        <v>5</v>
      </c>
      <c r="W81" s="232">
        <v>145</v>
      </c>
      <c r="X81" s="239">
        <v>386</v>
      </c>
      <c r="Y81" s="236">
        <f t="shared" si="2"/>
        <v>14.234170103484537</v>
      </c>
    </row>
    <row r="82" spans="1:25">
      <c r="A82">
        <v>66</v>
      </c>
      <c r="B82">
        <v>0</v>
      </c>
      <c r="C82" s="252" t="s">
        <v>245</v>
      </c>
      <c r="D82" s="253" t="s">
        <v>138</v>
      </c>
      <c r="E82" s="252" t="s">
        <v>107</v>
      </c>
      <c r="F82" s="252" t="s">
        <v>122</v>
      </c>
      <c r="G82" s="350">
        <v>4</v>
      </c>
      <c r="H82" s="351">
        <v>3</v>
      </c>
      <c r="I82">
        <v>0</v>
      </c>
      <c r="J82">
        <v>0</v>
      </c>
      <c r="K82" s="20">
        <v>5.9987549487676812</v>
      </c>
      <c r="L82" s="20">
        <v>4.8142857142857149</v>
      </c>
      <c r="M82" s="20">
        <v>1.3902060170045782</v>
      </c>
      <c r="N82" s="20">
        <v>5.6589360261561659</v>
      </c>
      <c r="O82" s="240">
        <v>120</v>
      </c>
      <c r="P82" s="20">
        <v>7.8693602693602696</v>
      </c>
      <c r="Q82" s="20">
        <v>6.7595818815331015</v>
      </c>
      <c r="R82" s="232">
        <v>63</v>
      </c>
      <c r="S82" s="20">
        <v>2.3531411591193172</v>
      </c>
      <c r="T82" s="20">
        <v>4.2946387103385684</v>
      </c>
      <c r="U82" s="20">
        <v>5</v>
      </c>
      <c r="V82" s="20">
        <v>5</v>
      </c>
      <c r="W82" s="232">
        <v>131</v>
      </c>
      <c r="X82" s="239">
        <v>314</v>
      </c>
      <c r="Y82" s="236">
        <f t="shared" si="2"/>
        <v>15.387072525451108</v>
      </c>
    </row>
    <row r="83" spans="1:25">
      <c r="A83">
        <v>67</v>
      </c>
      <c r="B83">
        <v>0</v>
      </c>
      <c r="C83" s="252" t="s">
        <v>311</v>
      </c>
      <c r="D83" s="253" t="s">
        <v>310</v>
      </c>
      <c r="E83" s="252" t="s">
        <v>107</v>
      </c>
      <c r="F83" s="252" t="s">
        <v>122</v>
      </c>
      <c r="G83" s="350">
        <v>4</v>
      </c>
      <c r="H83" s="351">
        <v>4</v>
      </c>
      <c r="I83">
        <v>0</v>
      </c>
      <c r="J83">
        <v>0</v>
      </c>
      <c r="K83" s="20">
        <v>5.716017330200776</v>
      </c>
      <c r="L83" s="20">
        <v>3.9071428571428566</v>
      </c>
      <c r="M83" s="20">
        <v>1.3578319162851535</v>
      </c>
      <c r="N83" s="20">
        <v>4.8117147875604207</v>
      </c>
      <c r="O83" s="240">
        <v>144</v>
      </c>
      <c r="P83" s="20">
        <v>7.5676249676249672</v>
      </c>
      <c r="Q83" s="20">
        <v>5.557491289198607</v>
      </c>
      <c r="R83" s="232">
        <v>124</v>
      </c>
      <c r="S83" s="20">
        <v>1.0823001778120298</v>
      </c>
      <c r="T83" s="20">
        <v>4.1487954728277714</v>
      </c>
      <c r="U83" s="20">
        <v>3.5714285714285716</v>
      </c>
      <c r="V83" s="20">
        <v>4.2857142857142856</v>
      </c>
      <c r="W83" s="232">
        <v>153</v>
      </c>
      <c r="X83" s="239">
        <v>421</v>
      </c>
      <c r="Y83" s="236">
        <f t="shared" si="2"/>
        <v>12.777727638941572</v>
      </c>
    </row>
    <row r="84" spans="1:25">
      <c r="A84">
        <v>68</v>
      </c>
      <c r="B84">
        <v>0</v>
      </c>
      <c r="C84" s="252" t="s">
        <v>283</v>
      </c>
      <c r="D84" s="253" t="s">
        <v>282</v>
      </c>
      <c r="E84" s="252" t="s">
        <v>107</v>
      </c>
      <c r="F84" s="252" t="s">
        <v>126</v>
      </c>
      <c r="G84" s="350">
        <v>3</v>
      </c>
      <c r="H84" s="351">
        <v>2</v>
      </c>
      <c r="I84">
        <v>0</v>
      </c>
      <c r="J84">
        <v>0</v>
      </c>
      <c r="K84" s="20">
        <v>4.6148918274456845</v>
      </c>
      <c r="L84" s="20">
        <v>3.8071428571428569</v>
      </c>
      <c r="M84" s="20">
        <v>1.8196533682145193</v>
      </c>
      <c r="N84" s="20">
        <v>5.2975260098166235</v>
      </c>
      <c r="O84" s="240">
        <v>148</v>
      </c>
      <c r="P84" s="20">
        <v>7.2769360269360277</v>
      </c>
      <c r="Q84" s="20">
        <v>6.0801393728223001</v>
      </c>
      <c r="R84" s="232">
        <v>117</v>
      </c>
      <c r="S84" s="20">
        <v>1.0799780031993707</v>
      </c>
      <c r="T84" s="20">
        <v>4.3123859777933387</v>
      </c>
      <c r="U84" s="20">
        <v>5</v>
      </c>
      <c r="V84" s="20">
        <v>5</v>
      </c>
      <c r="W84" s="232">
        <v>144</v>
      </c>
      <c r="X84" s="239">
        <v>409</v>
      </c>
      <c r="Y84" s="236">
        <f t="shared" si="2"/>
        <v>13.813033883725398</v>
      </c>
    </row>
    <row r="85" spans="1:25">
      <c r="A85">
        <v>70</v>
      </c>
      <c r="B85">
        <v>0</v>
      </c>
      <c r="C85" s="252" t="s">
        <v>277</v>
      </c>
      <c r="D85" s="253" t="s">
        <v>276</v>
      </c>
      <c r="E85" s="252" t="s">
        <v>115</v>
      </c>
      <c r="F85" s="252" t="s">
        <v>118</v>
      </c>
      <c r="G85" s="350">
        <v>3</v>
      </c>
      <c r="H85" s="351">
        <v>3</v>
      </c>
      <c r="I85">
        <v>0</v>
      </c>
      <c r="J85">
        <v>0</v>
      </c>
      <c r="K85" s="20">
        <v>6.5295061756832009</v>
      </c>
      <c r="L85" s="20">
        <v>3.3888888888888893</v>
      </c>
      <c r="M85" s="20">
        <v>3.614453891432309</v>
      </c>
      <c r="N85" s="20">
        <v>4.6337520158648227</v>
      </c>
      <c r="O85" s="240">
        <v>114</v>
      </c>
      <c r="P85" s="20">
        <v>7.7527454027454024</v>
      </c>
      <c r="Q85" s="20">
        <v>1</v>
      </c>
      <c r="R85" s="232">
        <v>152</v>
      </c>
      <c r="S85" s="20">
        <v>1.656350339866026</v>
      </c>
      <c r="T85" s="20">
        <v>3.561758027500356</v>
      </c>
      <c r="U85" s="20">
        <v>5.4761904761904754</v>
      </c>
      <c r="V85" s="20">
        <v>6.6666666666666679</v>
      </c>
      <c r="W85" s="232">
        <v>123</v>
      </c>
      <c r="X85" s="239">
        <v>389</v>
      </c>
      <c r="Y85" s="236">
        <f t="shared" si="2"/>
        <v>9.8818916205231879</v>
      </c>
    </row>
    <row r="86" spans="1:25">
      <c r="A86">
        <v>71</v>
      </c>
      <c r="B86">
        <v>0</v>
      </c>
      <c r="C86" s="252" t="s">
        <v>442</v>
      </c>
      <c r="D86" s="253" t="s">
        <v>441</v>
      </c>
      <c r="E86" s="252" t="s">
        <v>115</v>
      </c>
      <c r="F86" s="252" t="s">
        <v>124</v>
      </c>
      <c r="G86" s="350">
        <v>3</v>
      </c>
      <c r="H86" s="351">
        <v>3</v>
      </c>
      <c r="I86">
        <v>0</v>
      </c>
      <c r="J86">
        <v>0</v>
      </c>
      <c r="K86" s="20">
        <v>7.5625676479748041</v>
      </c>
      <c r="L86" s="20">
        <v>4.4736263736263737</v>
      </c>
      <c r="M86" s="20">
        <v>1.671517331589274</v>
      </c>
      <c r="N86" s="20">
        <v>5.6470098293768398</v>
      </c>
      <c r="O86" s="240">
        <v>93</v>
      </c>
      <c r="P86" s="20">
        <v>6.8399507899507892</v>
      </c>
      <c r="Q86" s="20">
        <v>7.3763066202090597</v>
      </c>
      <c r="R86" s="232">
        <v>77</v>
      </c>
      <c r="S86" s="20">
        <v>3.972676114824544</v>
      </c>
      <c r="T86" s="20">
        <v>6.0183107484213485</v>
      </c>
      <c r="U86" s="20">
        <v>5.1620879120879115</v>
      </c>
      <c r="V86" s="20">
        <v>8.2142857142857135</v>
      </c>
      <c r="W86" s="232">
        <v>49</v>
      </c>
      <c r="X86" s="239">
        <v>219</v>
      </c>
      <c r="Y86" s="236">
        <f t="shared" si="2"/>
        <v>18.056827038255761</v>
      </c>
    </row>
    <row r="87" spans="1:25">
      <c r="A87">
        <v>72</v>
      </c>
      <c r="B87">
        <v>0</v>
      </c>
      <c r="C87" s="252" t="s">
        <v>484</v>
      </c>
      <c r="D87" s="253" t="s">
        <v>483</v>
      </c>
      <c r="E87" s="252" t="s">
        <v>115</v>
      </c>
      <c r="F87" s="252" t="s">
        <v>116</v>
      </c>
      <c r="G87" s="350">
        <v>3</v>
      </c>
      <c r="H87" s="351">
        <v>3</v>
      </c>
      <c r="I87">
        <v>0</v>
      </c>
      <c r="J87">
        <v>0</v>
      </c>
      <c r="K87" s="20">
        <v>6.779746478535623</v>
      </c>
      <c r="L87" s="20">
        <v>5.1198412698412694</v>
      </c>
      <c r="M87" s="20">
        <v>1.9423806409417921</v>
      </c>
      <c r="N87" s="20">
        <v>5.3774926527186881</v>
      </c>
      <c r="O87" s="240">
        <v>95</v>
      </c>
      <c r="P87" s="20">
        <v>7.6601528101528107</v>
      </c>
      <c r="Q87" s="20">
        <v>6.0592334494773521</v>
      </c>
      <c r="R87" s="232">
        <v>104</v>
      </c>
      <c r="S87" s="20">
        <v>3.0360684299718983</v>
      </c>
      <c r="T87" s="20">
        <v>4.0281250576246537</v>
      </c>
      <c r="U87" s="20">
        <v>4.825396825396826</v>
      </c>
      <c r="V87" s="20">
        <v>6.8571428571428577</v>
      </c>
      <c r="W87" s="232">
        <v>106</v>
      </c>
      <c r="X87" s="239">
        <v>305</v>
      </c>
      <c r="Y87" s="236">
        <f t="shared" si="2"/>
        <v>15.550782002520753</v>
      </c>
    </row>
    <row r="88" spans="1:25">
      <c r="A88">
        <v>73</v>
      </c>
      <c r="B88">
        <v>0</v>
      </c>
      <c r="C88" s="252" t="s">
        <v>470</v>
      </c>
      <c r="D88" s="253" t="s">
        <v>469</v>
      </c>
      <c r="E88" s="252" t="s">
        <v>115</v>
      </c>
      <c r="F88" s="252" t="s">
        <v>124</v>
      </c>
      <c r="G88" s="350">
        <v>3</v>
      </c>
      <c r="H88" s="351">
        <v>3</v>
      </c>
      <c r="I88">
        <v>0</v>
      </c>
      <c r="J88">
        <v>0</v>
      </c>
      <c r="K88" s="20">
        <v>7.2214950094757979</v>
      </c>
      <c r="L88" s="20">
        <v>4.2955215419501132</v>
      </c>
      <c r="M88" s="20">
        <v>1.6152550686723348</v>
      </c>
      <c r="N88" s="20">
        <v>5.5963439233147003</v>
      </c>
      <c r="O88" s="240">
        <v>103</v>
      </c>
      <c r="P88" s="20">
        <v>6.1938875938875935</v>
      </c>
      <c r="Q88" s="20">
        <v>7.0940766550522643</v>
      </c>
      <c r="R88" s="232">
        <v>119</v>
      </c>
      <c r="S88" s="20">
        <v>3.6239380308481799</v>
      </c>
      <c r="T88" s="20">
        <v>4.4171248066863793</v>
      </c>
      <c r="U88" s="20">
        <v>4.3730158730158726</v>
      </c>
      <c r="V88" s="20">
        <v>6.9387755102040813</v>
      </c>
      <c r="W88" s="232">
        <v>99</v>
      </c>
      <c r="X88" s="239">
        <v>321</v>
      </c>
      <c r="Y88" s="236">
        <f t="shared" si="2"/>
        <v>16.614444096094129</v>
      </c>
    </row>
    <row r="89" spans="1:25">
      <c r="A89">
        <v>74</v>
      </c>
      <c r="B89">
        <v>0</v>
      </c>
      <c r="C89" s="252" t="s">
        <v>598</v>
      </c>
      <c r="D89" s="253" t="s">
        <v>597</v>
      </c>
      <c r="E89" s="252" t="s">
        <v>109</v>
      </c>
      <c r="F89" s="252" t="s">
        <v>110</v>
      </c>
      <c r="G89" s="350">
        <v>2</v>
      </c>
      <c r="H89" s="351">
        <v>2</v>
      </c>
      <c r="I89">
        <v>0</v>
      </c>
      <c r="J89">
        <v>0</v>
      </c>
      <c r="K89" s="305">
        <v>7.6058013526067896</v>
      </c>
      <c r="L89" s="305">
        <v>6.0563492063492061</v>
      </c>
      <c r="M89" s="305">
        <v>4.4817364290385866</v>
      </c>
      <c r="N89" s="305">
        <v>6.3147874181486703</v>
      </c>
      <c r="O89" s="240">
        <v>19</v>
      </c>
      <c r="P89" s="305">
        <v>7.6712509712509709</v>
      </c>
      <c r="Q89" s="305">
        <v>7.1881533101045312</v>
      </c>
      <c r="R89" s="232">
        <v>53</v>
      </c>
      <c r="S89" s="305">
        <v>3.5140340313741256</v>
      </c>
      <c r="T89" s="20">
        <v>5.5255137490377795</v>
      </c>
      <c r="U89" s="305">
        <v>7.674603174603174</v>
      </c>
      <c r="V89" s="305">
        <v>9.2857142857142865</v>
      </c>
      <c r="W89" s="232">
        <v>17</v>
      </c>
      <c r="X89" s="239">
        <v>89</v>
      </c>
      <c r="Y89" s="236">
        <f t="shared" si="2"/>
        <v>19.802788221822688</v>
      </c>
    </row>
    <row r="90" spans="1:25">
      <c r="A90">
        <v>75</v>
      </c>
      <c r="B90">
        <v>0</v>
      </c>
      <c r="C90" s="252" t="s">
        <v>300</v>
      </c>
      <c r="D90" s="253" t="s">
        <v>299</v>
      </c>
      <c r="E90" s="252" t="s">
        <v>115</v>
      </c>
      <c r="F90" s="252" t="s">
        <v>118</v>
      </c>
      <c r="G90" s="350">
        <v>4</v>
      </c>
      <c r="H90" s="351">
        <v>3</v>
      </c>
      <c r="I90">
        <v>0</v>
      </c>
      <c r="J90">
        <v>0</v>
      </c>
      <c r="K90" s="20">
        <v>6.2735977345592762</v>
      </c>
      <c r="L90" s="20">
        <v>1.5976190476190475</v>
      </c>
      <c r="M90" s="20">
        <v>2.3072269457161543</v>
      </c>
      <c r="N90" s="20">
        <v>4.572246299332825</v>
      </c>
      <c r="O90" s="240">
        <v>154</v>
      </c>
      <c r="P90" s="20">
        <v>7.295428645428645</v>
      </c>
      <c r="Q90" s="20">
        <v>6.3101045296167246</v>
      </c>
      <c r="R90" s="232">
        <v>110</v>
      </c>
      <c r="S90" s="20">
        <v>3.152843020043878</v>
      </c>
      <c r="T90" s="20">
        <v>4.3815270615304964</v>
      </c>
      <c r="U90" s="20">
        <v>2.9523809523809526</v>
      </c>
      <c r="V90" s="20">
        <v>6.0714285714285712</v>
      </c>
      <c r="W90" s="232">
        <v>133</v>
      </c>
      <c r="X90" s="239">
        <v>397</v>
      </c>
      <c r="Y90" s="236">
        <f t="shared" si="2"/>
        <v>14.137321937769524</v>
      </c>
    </row>
    <row r="91" spans="1:25">
      <c r="A91">
        <v>76</v>
      </c>
      <c r="B91">
        <v>0</v>
      </c>
      <c r="C91" s="252" t="s">
        <v>582</v>
      </c>
      <c r="D91" s="253" t="s">
        <v>581</v>
      </c>
      <c r="E91" s="252" t="s">
        <v>111</v>
      </c>
      <c r="F91" s="252" t="s">
        <v>110</v>
      </c>
      <c r="G91" s="350">
        <v>1</v>
      </c>
      <c r="H91" s="351">
        <v>2</v>
      </c>
      <c r="I91">
        <v>1</v>
      </c>
      <c r="J91">
        <v>0</v>
      </c>
      <c r="K91" s="310">
        <v>7.6917442219155676</v>
      </c>
      <c r="L91" s="310">
        <v>6.4710317460317466</v>
      </c>
      <c r="M91" s="310">
        <v>5.1940156965336817</v>
      </c>
      <c r="N91" s="310">
        <v>6.0182663474137126</v>
      </c>
      <c r="O91" s="240">
        <v>15</v>
      </c>
      <c r="P91" s="310">
        <v>7.9619140119140113</v>
      </c>
      <c r="Q91" s="310">
        <v>7.9094076655052268</v>
      </c>
      <c r="R91" s="232">
        <v>17</v>
      </c>
      <c r="S91" s="310">
        <v>3.5002255603919488</v>
      </c>
      <c r="T91" s="20">
        <v>5.361528366981366</v>
      </c>
      <c r="U91" s="310">
        <v>6.4126984126984139</v>
      </c>
      <c r="V91" s="310">
        <v>7.5</v>
      </c>
      <c r="W91" s="232">
        <v>55</v>
      </c>
      <c r="X91" s="239">
        <v>87</v>
      </c>
      <c r="Y91" s="236">
        <f t="shared" si="2"/>
        <v>19.946785253496834</v>
      </c>
    </row>
    <row r="92" spans="1:25">
      <c r="A92">
        <v>77</v>
      </c>
      <c r="B92">
        <v>0</v>
      </c>
      <c r="C92" s="252" t="s">
        <v>474</v>
      </c>
      <c r="D92" s="253" t="s">
        <v>473</v>
      </c>
      <c r="E92" s="252" t="s">
        <v>119</v>
      </c>
      <c r="F92" s="252" t="s">
        <v>125</v>
      </c>
      <c r="G92" s="350">
        <v>3</v>
      </c>
      <c r="H92" s="351">
        <v>3</v>
      </c>
      <c r="I92">
        <v>0</v>
      </c>
      <c r="J92">
        <v>0</v>
      </c>
      <c r="K92" s="305">
        <v>6.4039718393431544</v>
      </c>
      <c r="L92" s="305">
        <v>4.5758241758241756</v>
      </c>
      <c r="M92" s="305">
        <v>1.2828809679529103</v>
      </c>
      <c r="N92" s="305">
        <v>7.0219828394292971</v>
      </c>
      <c r="O92" s="240">
        <v>94</v>
      </c>
      <c r="P92" s="305">
        <v>4.2955969955969957</v>
      </c>
      <c r="Q92" s="305">
        <v>6.8013937282229966</v>
      </c>
      <c r="R92" s="232">
        <v>146</v>
      </c>
      <c r="S92" s="305">
        <v>3.7984468647159666</v>
      </c>
      <c r="T92" s="20">
        <v>5.7525827259500968</v>
      </c>
      <c r="U92" s="305">
        <v>6.573260073260073</v>
      </c>
      <c r="V92" s="305">
        <v>8.3333333333333321</v>
      </c>
      <c r="W92" s="232">
        <v>34</v>
      </c>
      <c r="X92" s="239">
        <v>274</v>
      </c>
      <c r="Y92" s="236">
        <f t="shared" si="2"/>
        <v>17.736964433175245</v>
      </c>
    </row>
    <row r="93" spans="1:25">
      <c r="A93">
        <v>78</v>
      </c>
      <c r="B93">
        <v>0</v>
      </c>
      <c r="C93" s="252" t="s">
        <v>468</v>
      </c>
      <c r="D93" s="253" t="s">
        <v>467</v>
      </c>
      <c r="E93" s="252" t="s">
        <v>106</v>
      </c>
      <c r="F93" s="252" t="s">
        <v>106</v>
      </c>
      <c r="G93" s="350">
        <v>3</v>
      </c>
      <c r="H93" s="351">
        <v>3</v>
      </c>
      <c r="I93">
        <v>0</v>
      </c>
      <c r="J93">
        <v>0</v>
      </c>
      <c r="K93" s="20">
        <v>6.9463792773924968</v>
      </c>
      <c r="L93" s="20">
        <v>4.7986528286528287</v>
      </c>
      <c r="M93" s="20">
        <v>1.6868214519293656</v>
      </c>
      <c r="N93" s="20">
        <v>4.9851703978898172</v>
      </c>
      <c r="O93" s="240">
        <v>109</v>
      </c>
      <c r="P93" s="20">
        <v>5.9323750323750328</v>
      </c>
      <c r="Q93" s="20">
        <v>6.6236933797909412</v>
      </c>
      <c r="R93" s="232">
        <v>132</v>
      </c>
      <c r="S93" s="20">
        <v>3.8826550113642972</v>
      </c>
      <c r="T93" s="20">
        <v>7.4563921592834408</v>
      </c>
      <c r="U93" s="20">
        <v>7.8156776556776562</v>
      </c>
      <c r="V93" s="20">
        <v>9.5604395604395602</v>
      </c>
      <c r="W93" s="232">
        <v>2</v>
      </c>
      <c r="X93" s="239">
        <v>243</v>
      </c>
      <c r="Y93" s="236">
        <f t="shared" si="2"/>
        <v>18.406740465448308</v>
      </c>
    </row>
    <row r="94" spans="1:25">
      <c r="A94">
        <v>80</v>
      </c>
      <c r="B94">
        <v>0</v>
      </c>
      <c r="C94" s="252" t="s">
        <v>450</v>
      </c>
      <c r="D94" s="253" t="s">
        <v>139</v>
      </c>
      <c r="E94" s="252" t="s">
        <v>113</v>
      </c>
      <c r="F94" s="252" t="s">
        <v>106</v>
      </c>
      <c r="G94" s="350">
        <v>2</v>
      </c>
      <c r="H94" s="351">
        <v>2</v>
      </c>
      <c r="I94">
        <v>0</v>
      </c>
      <c r="J94">
        <v>0</v>
      </c>
      <c r="K94" s="20">
        <v>6.9517078100744722</v>
      </c>
      <c r="L94" s="20">
        <v>4.192619047619047</v>
      </c>
      <c r="M94" s="20">
        <v>2.0600555918901242</v>
      </c>
      <c r="N94" s="20">
        <v>6.4455574485521492</v>
      </c>
      <c r="O94" s="240">
        <v>82</v>
      </c>
      <c r="P94" s="20">
        <v>7.6379305879305885</v>
      </c>
      <c r="Q94" s="20">
        <v>5.5365853658536581</v>
      </c>
      <c r="R94" s="232">
        <v>122</v>
      </c>
      <c r="S94" s="20">
        <v>2.9319717931584144</v>
      </c>
      <c r="T94" s="20">
        <v>6.048041330544855</v>
      </c>
      <c r="U94" s="20">
        <v>6.333333333333333</v>
      </c>
      <c r="V94" s="20">
        <v>7.7142857142857144</v>
      </c>
      <c r="W94" s="232">
        <v>52</v>
      </c>
      <c r="X94" s="239">
        <v>256</v>
      </c>
      <c r="Y94" s="236">
        <f t="shared" si="2"/>
        <v>16.205978383218188</v>
      </c>
    </row>
    <row r="95" spans="1:25">
      <c r="A95">
        <v>81</v>
      </c>
      <c r="B95">
        <v>0</v>
      </c>
      <c r="C95" s="252" t="s">
        <v>315</v>
      </c>
      <c r="D95" s="253" t="s">
        <v>314</v>
      </c>
      <c r="E95" s="252" t="s">
        <v>113</v>
      </c>
      <c r="F95" s="252" t="s">
        <v>140</v>
      </c>
      <c r="G95" s="350"/>
      <c r="H95" s="351">
        <v>3</v>
      </c>
      <c r="I95">
        <v>0</v>
      </c>
      <c r="J95">
        <v>0</v>
      </c>
      <c r="K95" s="305">
        <v>6.0033696886184629</v>
      </c>
      <c r="L95" s="305">
        <v>1.174206349206349</v>
      </c>
      <c r="M95" s="305">
        <v>1.7822269457161544</v>
      </c>
      <c r="N95" s="305">
        <v>5.3197116215793319</v>
      </c>
      <c r="O95" s="240">
        <v>158</v>
      </c>
      <c r="P95" s="305">
        <v>7.7490287490287493</v>
      </c>
      <c r="Q95" s="305">
        <v>1</v>
      </c>
      <c r="R95" s="232">
        <v>154</v>
      </c>
      <c r="S95" s="305">
        <v>2.8043703093314734</v>
      </c>
      <c r="T95" s="20">
        <v>4.7325406227695064</v>
      </c>
      <c r="U95" s="305">
        <v>2.0198412698412698</v>
      </c>
      <c r="V95" s="305">
        <v>1.4285714285714284</v>
      </c>
      <c r="W95" s="232">
        <v>160</v>
      </c>
      <c r="X95" s="239">
        <v>472</v>
      </c>
      <c r="Y95" s="236">
        <f t="shared" si="2"/>
        <v>7.3162095589084934</v>
      </c>
    </row>
    <row r="96" spans="1:25">
      <c r="A96">
        <v>83</v>
      </c>
      <c r="B96">
        <v>0</v>
      </c>
      <c r="C96" s="252" t="s">
        <v>570</v>
      </c>
      <c r="D96" s="253" t="s">
        <v>569</v>
      </c>
      <c r="E96" s="252" t="s">
        <v>113</v>
      </c>
      <c r="F96" s="252" t="s">
        <v>112</v>
      </c>
      <c r="G96" s="350">
        <v>1</v>
      </c>
      <c r="H96" s="351">
        <v>2</v>
      </c>
      <c r="I96">
        <v>0</v>
      </c>
      <c r="J96">
        <v>0</v>
      </c>
      <c r="K96" s="20">
        <v>7.5248616181405144</v>
      </c>
      <c r="L96" s="20">
        <v>6.0969047619047618</v>
      </c>
      <c r="M96" s="20">
        <v>5.3526978417266182</v>
      </c>
      <c r="N96" s="20">
        <v>6.1095554745967346</v>
      </c>
      <c r="O96" s="240">
        <v>17</v>
      </c>
      <c r="P96" s="20">
        <v>7.8378269878269879</v>
      </c>
      <c r="Q96" s="20">
        <v>8.07665505226481</v>
      </c>
      <c r="R96" s="232">
        <v>15</v>
      </c>
      <c r="S96" s="20">
        <v>3.5449836283618978</v>
      </c>
      <c r="T96" s="20">
        <v>6.0703664056429822</v>
      </c>
      <c r="U96" s="20">
        <v>8.6412698412698408</v>
      </c>
      <c r="V96" s="20">
        <v>8.5714285714285712</v>
      </c>
      <c r="W96" s="232">
        <v>8</v>
      </c>
      <c r="X96" s="239">
        <v>40</v>
      </c>
      <c r="Y96" s="236">
        <f t="shared" si="2"/>
        <v>21.054672088032792</v>
      </c>
    </row>
    <row r="97" spans="1:25">
      <c r="A97">
        <v>85</v>
      </c>
      <c r="B97">
        <v>0</v>
      </c>
      <c r="C97" s="252" t="s">
        <v>382</v>
      </c>
      <c r="D97" s="253" t="s">
        <v>381</v>
      </c>
      <c r="E97" s="252" t="s">
        <v>115</v>
      </c>
      <c r="F97" s="252" t="s">
        <v>118</v>
      </c>
      <c r="G97" s="350">
        <v>2</v>
      </c>
      <c r="H97" s="351">
        <v>3</v>
      </c>
      <c r="I97">
        <v>0</v>
      </c>
      <c r="J97">
        <v>0</v>
      </c>
      <c r="K97" s="305">
        <v>6.844918684614373</v>
      </c>
      <c r="L97" s="305">
        <v>4.6698412698412701</v>
      </c>
      <c r="M97" s="305">
        <v>2.1299051667756705</v>
      </c>
      <c r="N97" s="305">
        <v>5.3798404075459096</v>
      </c>
      <c r="O97" s="240">
        <v>97</v>
      </c>
      <c r="P97" s="305">
        <v>6.8509065009065013</v>
      </c>
      <c r="Q97" s="305">
        <v>7.8466898954703836</v>
      </c>
      <c r="R97" s="232">
        <v>59</v>
      </c>
      <c r="S97" s="305">
        <v>4.0311007334725391</v>
      </c>
      <c r="T97" s="20">
        <v>4.1393418823062609</v>
      </c>
      <c r="U97" s="305">
        <v>5.208333333333333</v>
      </c>
      <c r="V97" s="305">
        <v>6.7857142857142865</v>
      </c>
      <c r="W97" s="232">
        <v>88</v>
      </c>
      <c r="X97" s="239">
        <v>244</v>
      </c>
      <c r="Y97" s="236">
        <f t="shared" si="2"/>
        <v>17.643938836371294</v>
      </c>
    </row>
    <row r="98" spans="1:25">
      <c r="A98">
        <v>86</v>
      </c>
      <c r="B98">
        <v>0</v>
      </c>
      <c r="C98" s="252" t="s">
        <v>588</v>
      </c>
      <c r="D98" s="253" t="s">
        <v>587</v>
      </c>
      <c r="E98" s="252" t="s">
        <v>113</v>
      </c>
      <c r="F98" s="252" t="s">
        <v>140</v>
      </c>
      <c r="G98" s="350">
        <v>2</v>
      </c>
      <c r="H98" s="351">
        <v>3</v>
      </c>
      <c r="I98">
        <v>0</v>
      </c>
      <c r="J98">
        <v>0</v>
      </c>
      <c r="K98" s="305">
        <v>6.5288813940083887</v>
      </c>
      <c r="L98" s="305">
        <v>5.9777472527472533</v>
      </c>
      <c r="M98" s="305">
        <v>3.3281883584041858</v>
      </c>
      <c r="N98" s="305">
        <v>6.5639124956915031</v>
      </c>
      <c r="O98" s="240">
        <v>35</v>
      </c>
      <c r="P98" s="305">
        <v>7.6620046620046622</v>
      </c>
      <c r="Q98" s="305">
        <v>7.9094076655052268</v>
      </c>
      <c r="R98" s="232">
        <v>27</v>
      </c>
      <c r="S98" s="305">
        <v>3.4144382121833901</v>
      </c>
      <c r="T98" s="20">
        <v>5.285178516337016</v>
      </c>
      <c r="U98" s="305">
        <v>7.73992673992674</v>
      </c>
      <c r="V98" s="305">
        <v>9.6428571428571423</v>
      </c>
      <c r="W98" s="232">
        <v>16</v>
      </c>
      <c r="X98" s="239">
        <v>78</v>
      </c>
      <c r="Y98" s="236">
        <f t="shared" ref="Y98:Y129" si="3">(((AVERAGE(K98:N98)+AVERAGE(Q98+AVERAGE(S98:V98)))))</f>
        <v>20.02969019354413</v>
      </c>
    </row>
    <row r="99" spans="1:25">
      <c r="A99">
        <v>88</v>
      </c>
      <c r="B99">
        <v>0</v>
      </c>
      <c r="C99" s="252" t="s">
        <v>656</v>
      </c>
      <c r="D99" s="253" t="s">
        <v>655</v>
      </c>
      <c r="E99" s="252" t="s">
        <v>109</v>
      </c>
      <c r="F99" s="252" t="s">
        <v>141</v>
      </c>
      <c r="G99" s="350">
        <v>2</v>
      </c>
      <c r="H99" s="351">
        <v>2</v>
      </c>
      <c r="I99">
        <v>0</v>
      </c>
      <c r="J99">
        <v>0</v>
      </c>
      <c r="K99" s="20">
        <v>7.0383976229789083</v>
      </c>
      <c r="L99" s="20">
        <v>4.4142857142857137</v>
      </c>
      <c r="M99" s="20">
        <v>6.138260300850229</v>
      </c>
      <c r="N99" s="20">
        <v>6.081140554281161</v>
      </c>
      <c r="O99" s="240">
        <v>25</v>
      </c>
      <c r="P99" s="20">
        <v>7.6305490805490805</v>
      </c>
      <c r="Q99" s="20">
        <v>7.3763066202090597</v>
      </c>
      <c r="R99" s="232">
        <v>47</v>
      </c>
      <c r="S99" s="20">
        <v>2.677738831152864</v>
      </c>
      <c r="T99" s="20">
        <v>4.6463865004699274</v>
      </c>
      <c r="U99" s="20">
        <v>5.7857142857142856</v>
      </c>
      <c r="V99" s="20">
        <v>6.4285714285714288</v>
      </c>
      <c r="W99" s="232">
        <v>96</v>
      </c>
      <c r="X99" s="239">
        <v>168</v>
      </c>
      <c r="Y99" s="236">
        <f t="shared" si="3"/>
        <v>18.17893042978519</v>
      </c>
    </row>
    <row r="100" spans="1:25">
      <c r="A100">
        <v>89</v>
      </c>
      <c r="B100">
        <v>0</v>
      </c>
      <c r="C100" s="252" t="s">
        <v>430</v>
      </c>
      <c r="D100" s="253" t="s">
        <v>429</v>
      </c>
      <c r="E100" s="252" t="s">
        <v>107</v>
      </c>
      <c r="F100" s="252" t="s">
        <v>121</v>
      </c>
      <c r="G100" s="350">
        <v>4</v>
      </c>
      <c r="H100" s="351">
        <v>3</v>
      </c>
      <c r="I100">
        <v>0</v>
      </c>
      <c r="J100">
        <v>0</v>
      </c>
      <c r="K100" s="20">
        <v>6.5961224813950512</v>
      </c>
      <c r="L100" s="20">
        <v>4.2426190476190477</v>
      </c>
      <c r="M100" s="20">
        <v>1.4515696533682145</v>
      </c>
      <c r="N100" s="20">
        <v>5.1915833398365629</v>
      </c>
      <c r="O100" s="240">
        <v>123</v>
      </c>
      <c r="P100" s="20">
        <v>6.8768583268583265</v>
      </c>
      <c r="Q100" s="20">
        <v>7.010452961672474</v>
      </c>
      <c r="R100" s="232">
        <v>91</v>
      </c>
      <c r="S100" s="20">
        <v>2.4935261876540928</v>
      </c>
      <c r="T100" s="20">
        <v>5.5422341489051874</v>
      </c>
      <c r="U100" s="20">
        <v>7.9331501831501834</v>
      </c>
      <c r="V100" s="20">
        <v>8.9285714285714288</v>
      </c>
      <c r="W100" s="232">
        <v>30</v>
      </c>
      <c r="X100" s="239">
        <v>244</v>
      </c>
      <c r="Y100" s="236">
        <f t="shared" si="3"/>
        <v>17.605297079297415</v>
      </c>
    </row>
    <row r="101" spans="1:25">
      <c r="A101">
        <v>90</v>
      </c>
      <c r="B101">
        <v>0</v>
      </c>
      <c r="C101" s="252" t="s">
        <v>622</v>
      </c>
      <c r="D101" s="253" t="s">
        <v>142</v>
      </c>
      <c r="E101" s="252" t="s">
        <v>109</v>
      </c>
      <c r="F101" s="252" t="s">
        <v>141</v>
      </c>
      <c r="G101" s="350">
        <v>3</v>
      </c>
      <c r="H101" s="351">
        <v>3</v>
      </c>
      <c r="I101">
        <v>0</v>
      </c>
      <c r="J101">
        <v>0</v>
      </c>
      <c r="K101" s="20">
        <v>7.1675356710134839</v>
      </c>
      <c r="L101" s="20">
        <v>5.0428571428571436</v>
      </c>
      <c r="M101" s="20">
        <v>4.2192609548724658</v>
      </c>
      <c r="N101" s="20">
        <v>5.6575027964119773</v>
      </c>
      <c r="O101" s="240">
        <v>39</v>
      </c>
      <c r="P101" s="20">
        <v>7.8471509971509974</v>
      </c>
      <c r="Q101" s="20">
        <v>7.4076655052264808</v>
      </c>
      <c r="R101" s="232">
        <v>40</v>
      </c>
      <c r="S101" s="20">
        <v>2.9538874786096607</v>
      </c>
      <c r="T101" s="20">
        <v>4.8804965039324459</v>
      </c>
      <c r="U101" s="20">
        <v>6.4285714285714279</v>
      </c>
      <c r="V101" s="20">
        <v>9.1428571428571441</v>
      </c>
      <c r="W101" s="232">
        <v>48</v>
      </c>
      <c r="X101" s="239">
        <v>127</v>
      </c>
      <c r="Y101" s="236">
        <f t="shared" si="3"/>
        <v>18.780907785007919</v>
      </c>
    </row>
    <row r="102" spans="1:25">
      <c r="A102">
        <v>91</v>
      </c>
      <c r="B102">
        <v>0</v>
      </c>
      <c r="C102" s="252" t="s">
        <v>492</v>
      </c>
      <c r="D102" s="253" t="s">
        <v>491</v>
      </c>
      <c r="E102" s="252" t="s">
        <v>119</v>
      </c>
      <c r="F102" s="252" t="s">
        <v>125</v>
      </c>
      <c r="G102" s="350">
        <v>3</v>
      </c>
      <c r="H102" s="351">
        <v>3</v>
      </c>
      <c r="I102">
        <v>0</v>
      </c>
      <c r="J102">
        <v>0</v>
      </c>
      <c r="K102" s="20">
        <v>6.393770103345938</v>
      </c>
      <c r="L102" s="20">
        <v>4.7688775510204078</v>
      </c>
      <c r="M102" s="20">
        <v>1.5578820907378663</v>
      </c>
      <c r="N102" s="20">
        <v>5.0596099809465898</v>
      </c>
      <c r="O102" s="240">
        <v>122</v>
      </c>
      <c r="P102" s="20">
        <v>6.7659673659673656</v>
      </c>
      <c r="Q102" s="20">
        <v>6.9163763066202097</v>
      </c>
      <c r="R102" s="232">
        <v>107</v>
      </c>
      <c r="S102" s="20">
        <v>2.7835840689835063</v>
      </c>
      <c r="T102" s="20">
        <v>5.9081319431087547</v>
      </c>
      <c r="U102" s="20">
        <v>6.3718820861678012</v>
      </c>
      <c r="V102" s="20">
        <v>8.8888888888888893</v>
      </c>
      <c r="W102" s="232">
        <v>38</v>
      </c>
      <c r="X102" s="239">
        <v>267</v>
      </c>
      <c r="Y102" s="236">
        <f t="shared" si="3"/>
        <v>17.349532984920149</v>
      </c>
    </row>
    <row r="103" spans="1:25">
      <c r="A103">
        <v>92</v>
      </c>
      <c r="B103">
        <v>0</v>
      </c>
      <c r="C103" s="252" t="s">
        <v>273</v>
      </c>
      <c r="D103" s="253" t="s">
        <v>272</v>
      </c>
      <c r="E103" s="252" t="s">
        <v>119</v>
      </c>
      <c r="F103" s="252" t="s">
        <v>136</v>
      </c>
      <c r="G103" s="350"/>
      <c r="H103" s="351">
        <v>3</v>
      </c>
      <c r="I103">
        <v>0</v>
      </c>
      <c r="J103">
        <v>0</v>
      </c>
      <c r="K103" s="20">
        <v>6.348954517304124</v>
      </c>
      <c r="L103" s="20">
        <v>4.8482993197278912</v>
      </c>
      <c r="M103" s="20">
        <v>1.6424296926095487</v>
      </c>
      <c r="N103" s="20">
        <v>5.7967125439182139</v>
      </c>
      <c r="O103" s="240">
        <v>104</v>
      </c>
      <c r="P103" s="20">
        <v>7.6620046620046622</v>
      </c>
      <c r="Q103" s="20">
        <v>5.5679442508710801</v>
      </c>
      <c r="R103" s="232">
        <v>120</v>
      </c>
      <c r="S103" s="20">
        <v>1.3633786923180307</v>
      </c>
      <c r="T103" s="20">
        <v>4.6130953679184827</v>
      </c>
      <c r="U103" s="20">
        <v>5.7142857142857144</v>
      </c>
      <c r="V103" s="20">
        <v>5.7142857142857135</v>
      </c>
      <c r="W103" s="232">
        <v>122</v>
      </c>
      <c r="X103" s="239">
        <v>346</v>
      </c>
      <c r="Y103" s="236">
        <f t="shared" si="3"/>
        <v>14.57830464146301</v>
      </c>
    </row>
    <row r="104" spans="1:25">
      <c r="A104">
        <v>93</v>
      </c>
      <c r="B104">
        <v>0</v>
      </c>
      <c r="C104" s="252" t="s">
        <v>472</v>
      </c>
      <c r="D104" s="253" t="s">
        <v>143</v>
      </c>
      <c r="E104" s="252" t="s">
        <v>115</v>
      </c>
      <c r="F104" s="252" t="s">
        <v>118</v>
      </c>
      <c r="G104" s="350">
        <v>2</v>
      </c>
      <c r="H104" s="351">
        <v>2</v>
      </c>
      <c r="I104">
        <v>0</v>
      </c>
      <c r="J104">
        <v>0</v>
      </c>
      <c r="K104" s="20">
        <v>7.4124517973065993</v>
      </c>
      <c r="L104" s="20">
        <v>3.8367346938775513</v>
      </c>
      <c r="M104" s="20">
        <v>3.5305755395683454</v>
      </c>
      <c r="N104" s="20">
        <v>5.0626701087991055</v>
      </c>
      <c r="O104" s="240">
        <v>76</v>
      </c>
      <c r="P104" s="20">
        <v>7.7620046620046619</v>
      </c>
      <c r="Q104" s="20">
        <v>8.07665505226481</v>
      </c>
      <c r="R104" s="232">
        <v>19</v>
      </c>
      <c r="S104" s="20">
        <v>3.5650326967785784</v>
      </c>
      <c r="T104" s="20">
        <v>3.9317898513755374</v>
      </c>
      <c r="U104" s="20">
        <v>5.7142857142857144</v>
      </c>
      <c r="V104" s="20">
        <v>6.6666666666666679</v>
      </c>
      <c r="W104" s="232">
        <v>91</v>
      </c>
      <c r="X104" s="239">
        <v>186</v>
      </c>
      <c r="Y104" s="236">
        <f t="shared" si="3"/>
        <v>18.006706819429336</v>
      </c>
    </row>
    <row r="105" spans="1:25">
      <c r="A105">
        <v>94</v>
      </c>
      <c r="B105">
        <v>0</v>
      </c>
      <c r="C105" s="252" t="s">
        <v>646</v>
      </c>
      <c r="D105" s="253" t="s">
        <v>144</v>
      </c>
      <c r="E105" s="252" t="s">
        <v>119</v>
      </c>
      <c r="F105" s="252" t="s">
        <v>128</v>
      </c>
      <c r="G105" s="350">
        <v>1</v>
      </c>
      <c r="H105" s="351">
        <v>2</v>
      </c>
      <c r="I105">
        <v>1</v>
      </c>
      <c r="J105">
        <v>0</v>
      </c>
      <c r="K105" s="20">
        <v>6.1778248065096877</v>
      </c>
      <c r="L105" s="20">
        <v>5.9614285714285709</v>
      </c>
      <c r="M105" s="20">
        <v>4.9500817527795942</v>
      </c>
      <c r="N105" s="20">
        <v>5.6124134651501549</v>
      </c>
      <c r="O105" s="240">
        <v>33</v>
      </c>
      <c r="P105" s="20">
        <v>7.6786842786842788</v>
      </c>
      <c r="Q105" s="20">
        <v>8.3066202090592345</v>
      </c>
      <c r="R105" s="232">
        <v>13</v>
      </c>
      <c r="S105" s="20">
        <v>3.3625818466218633</v>
      </c>
      <c r="T105" s="20">
        <v>5.3993766638109211</v>
      </c>
      <c r="U105" s="20">
        <v>6.6904761904761898</v>
      </c>
      <c r="V105" s="20">
        <v>6.1904761904761898</v>
      </c>
      <c r="W105" s="232">
        <v>65</v>
      </c>
      <c r="X105" s="239">
        <v>111</v>
      </c>
      <c r="Y105" s="236">
        <f t="shared" si="3"/>
        <v>19.392785080872528</v>
      </c>
    </row>
    <row r="106" spans="1:25">
      <c r="A106">
        <v>95</v>
      </c>
      <c r="B106">
        <v>0</v>
      </c>
      <c r="C106" s="252" t="s">
        <v>378</v>
      </c>
      <c r="D106" s="253" t="s">
        <v>377</v>
      </c>
      <c r="E106" s="252" t="s">
        <v>113</v>
      </c>
      <c r="F106" s="252" t="s">
        <v>114</v>
      </c>
      <c r="G106" s="350">
        <v>2</v>
      </c>
      <c r="H106" s="351">
        <v>2</v>
      </c>
      <c r="I106">
        <v>0</v>
      </c>
      <c r="J106">
        <v>0</v>
      </c>
      <c r="K106" s="305">
        <v>7.430693305828866</v>
      </c>
      <c r="L106" s="305">
        <v>4.9642857142857135</v>
      </c>
      <c r="M106" s="305">
        <v>2.8100065402223677</v>
      </c>
      <c r="N106" s="305">
        <v>6.3275007132136727</v>
      </c>
      <c r="O106" s="240">
        <v>51</v>
      </c>
      <c r="P106" s="305">
        <v>8.6023957523957524</v>
      </c>
      <c r="Q106" s="305">
        <v>1</v>
      </c>
      <c r="R106" s="232">
        <v>148</v>
      </c>
      <c r="S106" s="305">
        <v>2.3039739834711832</v>
      </c>
      <c r="T106" s="20">
        <v>3.9760251519627512</v>
      </c>
      <c r="U106" s="305">
        <v>5.5714285714285721</v>
      </c>
      <c r="V106" s="305">
        <v>4.2857142857142856</v>
      </c>
      <c r="W106" s="232">
        <v>137</v>
      </c>
      <c r="X106" s="239">
        <v>336</v>
      </c>
      <c r="Y106" s="236">
        <f t="shared" si="3"/>
        <v>10.417407066531853</v>
      </c>
    </row>
    <row r="107" spans="1:25">
      <c r="A107">
        <v>96</v>
      </c>
      <c r="B107">
        <v>0</v>
      </c>
      <c r="C107" s="252" t="s">
        <v>432</v>
      </c>
      <c r="D107" s="253" t="s">
        <v>145</v>
      </c>
      <c r="E107" s="252" t="s">
        <v>119</v>
      </c>
      <c r="F107" s="252" t="s">
        <v>125</v>
      </c>
      <c r="G107" s="350">
        <v>3</v>
      </c>
      <c r="H107" s="351">
        <v>3</v>
      </c>
      <c r="I107">
        <v>0</v>
      </c>
      <c r="J107">
        <v>0</v>
      </c>
      <c r="K107" s="20">
        <v>7.8859809654196056</v>
      </c>
      <c r="L107" s="20">
        <v>5.2146825396825403</v>
      </c>
      <c r="M107" s="20">
        <v>1.6271255722694571</v>
      </c>
      <c r="N107" s="20">
        <v>5.1531003965899727</v>
      </c>
      <c r="O107" s="232">
        <v>75</v>
      </c>
      <c r="P107" s="20">
        <v>7.38984718984719</v>
      </c>
      <c r="Q107" s="20">
        <v>6.3414634146341475</v>
      </c>
      <c r="R107" s="232">
        <v>103</v>
      </c>
      <c r="S107" s="20">
        <v>3.3400409886935685</v>
      </c>
      <c r="T107" s="20">
        <v>5.4838530890556765</v>
      </c>
      <c r="U107" s="20">
        <v>6.8214285714285721</v>
      </c>
      <c r="V107" s="20">
        <v>9.5238095238095237</v>
      </c>
      <c r="W107" s="232">
        <v>27</v>
      </c>
      <c r="X107" s="239">
        <v>205</v>
      </c>
      <c r="Y107" s="236">
        <f t="shared" si="3"/>
        <v>17.603968826371375</v>
      </c>
    </row>
    <row r="108" spans="1:25">
      <c r="A108">
        <v>97</v>
      </c>
      <c r="B108">
        <v>0</v>
      </c>
      <c r="C108" s="252" t="s">
        <v>664</v>
      </c>
      <c r="D108" s="253" t="s">
        <v>663</v>
      </c>
      <c r="E108" s="252" t="s">
        <v>113</v>
      </c>
      <c r="F108" s="252" t="s">
        <v>140</v>
      </c>
      <c r="G108" s="350">
        <v>3</v>
      </c>
      <c r="H108" s="351">
        <v>2</v>
      </c>
      <c r="I108">
        <v>0</v>
      </c>
      <c r="J108">
        <v>0</v>
      </c>
      <c r="K108" s="20">
        <v>7.1002592491005476</v>
      </c>
      <c r="L108" s="20">
        <v>3.6071428571428563</v>
      </c>
      <c r="M108" s="20">
        <v>4.3166285153695227</v>
      </c>
      <c r="N108" s="20">
        <v>6.0885168444614539</v>
      </c>
      <c r="O108" s="240">
        <v>55</v>
      </c>
      <c r="P108" s="20">
        <v>7.9878269878269883</v>
      </c>
      <c r="Q108" s="20">
        <v>7.2195121951219514</v>
      </c>
      <c r="R108" s="232">
        <v>42</v>
      </c>
      <c r="S108" s="20">
        <v>2.6547156736777411</v>
      </c>
      <c r="T108" s="20">
        <v>5.0325196581656151</v>
      </c>
      <c r="U108" s="20">
        <v>6</v>
      </c>
      <c r="V108" s="20">
        <v>6.6666666666666679</v>
      </c>
      <c r="W108" s="232">
        <v>87</v>
      </c>
      <c r="X108" s="239">
        <v>184</v>
      </c>
      <c r="Y108" s="236">
        <f t="shared" si="3"/>
        <v>17.586124561268051</v>
      </c>
    </row>
    <row r="109" spans="1:25">
      <c r="A109">
        <v>98</v>
      </c>
      <c r="B109">
        <v>0</v>
      </c>
      <c r="C109" s="252" t="s">
        <v>309</v>
      </c>
      <c r="D109" s="253" t="s">
        <v>308</v>
      </c>
      <c r="E109" s="252" t="s">
        <v>107</v>
      </c>
      <c r="F109" s="252" t="s">
        <v>122</v>
      </c>
      <c r="G109" s="350">
        <v>4</v>
      </c>
      <c r="H109" s="351">
        <v>4</v>
      </c>
      <c r="I109">
        <v>0</v>
      </c>
      <c r="J109">
        <v>0</v>
      </c>
      <c r="K109" s="20">
        <v>6.5859191386416089</v>
      </c>
      <c r="L109" s="20">
        <v>3.8957142857142855</v>
      </c>
      <c r="M109" s="20">
        <v>1.2607096141268803</v>
      </c>
      <c r="N109" s="20">
        <v>5.6404860146016471</v>
      </c>
      <c r="O109" s="240">
        <v>125</v>
      </c>
      <c r="P109" s="20">
        <v>6.9029785029785034</v>
      </c>
      <c r="Q109" s="20">
        <v>5.8292682926829276</v>
      </c>
      <c r="R109" s="232">
        <v>129</v>
      </c>
      <c r="S109" s="20">
        <v>1.1106124050094561</v>
      </c>
      <c r="T109" s="20">
        <v>2.7705714560014676</v>
      </c>
      <c r="U109" s="20">
        <v>3.5714285714285716</v>
      </c>
      <c r="V109" s="20">
        <v>3.5714285714285716</v>
      </c>
      <c r="W109" s="232">
        <v>159</v>
      </c>
      <c r="X109" s="239">
        <v>413</v>
      </c>
      <c r="Y109" s="236">
        <f t="shared" si="3"/>
        <v>12.930985806921051</v>
      </c>
    </row>
    <row r="110" spans="1:25">
      <c r="A110">
        <v>99</v>
      </c>
      <c r="B110">
        <v>0</v>
      </c>
      <c r="C110" s="252" t="s">
        <v>498</v>
      </c>
      <c r="D110" s="253" t="s">
        <v>146</v>
      </c>
      <c r="E110" s="252" t="s">
        <v>113</v>
      </c>
      <c r="F110" s="252" t="s">
        <v>134</v>
      </c>
      <c r="G110" s="350">
        <v>2</v>
      </c>
      <c r="H110" s="351">
        <v>2</v>
      </c>
      <c r="I110">
        <v>0</v>
      </c>
      <c r="J110">
        <v>0</v>
      </c>
      <c r="K110" s="20">
        <v>7.0804651528844884</v>
      </c>
      <c r="L110" s="20">
        <v>4.2122222222222225</v>
      </c>
      <c r="M110" s="20">
        <v>3.0501144538914327</v>
      </c>
      <c r="N110" s="20">
        <v>6.5450633821743311</v>
      </c>
      <c r="O110" s="240">
        <v>57</v>
      </c>
      <c r="P110" s="20">
        <v>7.7453379953379962</v>
      </c>
      <c r="Q110" s="20">
        <v>5.2020905923344953</v>
      </c>
      <c r="R110" s="232">
        <v>128</v>
      </c>
      <c r="S110" s="20">
        <v>1.1245986771491061</v>
      </c>
      <c r="T110" s="20">
        <v>4.4662271423938025</v>
      </c>
      <c r="U110" s="20">
        <v>4.8253968253968251</v>
      </c>
      <c r="V110" s="20">
        <v>6.1904761904761898</v>
      </c>
      <c r="W110" s="232">
        <v>132</v>
      </c>
      <c r="X110" s="239">
        <v>317</v>
      </c>
      <c r="Y110" s="236">
        <f t="shared" si="3"/>
        <v>14.575731603981595</v>
      </c>
    </row>
    <row r="111" spans="1:25">
      <c r="A111">
        <v>100</v>
      </c>
      <c r="B111">
        <v>0</v>
      </c>
      <c r="C111" s="252" t="s">
        <v>660</v>
      </c>
      <c r="D111" s="253" t="s">
        <v>147</v>
      </c>
      <c r="E111" s="252" t="s">
        <v>115</v>
      </c>
      <c r="F111" s="252" t="s">
        <v>118</v>
      </c>
      <c r="G111" s="350">
        <v>3</v>
      </c>
      <c r="H111" s="351">
        <v>3</v>
      </c>
      <c r="I111">
        <v>0</v>
      </c>
      <c r="J111">
        <v>0</v>
      </c>
      <c r="K111" s="20">
        <v>5.9225294115365283</v>
      </c>
      <c r="L111" s="20">
        <v>7.3436507936507933</v>
      </c>
      <c r="M111" s="20">
        <v>3.8837475474166121</v>
      </c>
      <c r="N111" s="20">
        <v>4.5748765375137372</v>
      </c>
      <c r="O111" s="240">
        <v>48</v>
      </c>
      <c r="P111" s="20">
        <v>7.7305231805231802</v>
      </c>
      <c r="Q111" s="20">
        <v>8.3693379790940767</v>
      </c>
      <c r="R111" s="232">
        <v>9</v>
      </c>
      <c r="S111" s="20">
        <v>1.4691186102566867</v>
      </c>
      <c r="T111" s="20">
        <v>3.6158563754186188</v>
      </c>
      <c r="U111" s="20">
        <v>5.7619047619047628</v>
      </c>
      <c r="V111" s="20">
        <v>7.1428571428571432</v>
      </c>
      <c r="W111" s="232">
        <v>117</v>
      </c>
      <c r="X111" s="239">
        <v>174</v>
      </c>
      <c r="Y111" s="236">
        <f t="shared" si="3"/>
        <v>18.297973274232799</v>
      </c>
    </row>
    <row r="112" spans="1:25">
      <c r="A112">
        <v>102</v>
      </c>
      <c r="B112">
        <v>0</v>
      </c>
      <c r="C112" s="252" t="s">
        <v>440</v>
      </c>
      <c r="D112" s="253" t="s">
        <v>439</v>
      </c>
      <c r="E112" s="252" t="s">
        <v>106</v>
      </c>
      <c r="F112" s="252" t="s">
        <v>106</v>
      </c>
      <c r="G112" s="350">
        <v>3</v>
      </c>
      <c r="H112" s="351">
        <v>3</v>
      </c>
      <c r="I112">
        <v>0</v>
      </c>
      <c r="J112">
        <v>0</v>
      </c>
      <c r="K112" s="20">
        <v>7.6938574084596372</v>
      </c>
      <c r="L112" s="20">
        <v>5.0107142857142861</v>
      </c>
      <c r="M112" s="20">
        <v>2.3785971223021583</v>
      </c>
      <c r="N112" s="20">
        <v>4.5150227548491948</v>
      </c>
      <c r="O112" s="240">
        <v>83</v>
      </c>
      <c r="P112" s="20">
        <v>5.7899766899766902</v>
      </c>
      <c r="Q112" s="20">
        <v>6.7073170731707323</v>
      </c>
      <c r="R112" s="232">
        <v>133</v>
      </c>
      <c r="S112" s="20">
        <v>1.959227848865136</v>
      </c>
      <c r="T112" s="20">
        <v>5.8462853405356103</v>
      </c>
      <c r="U112" s="20">
        <v>7.1785714285714279</v>
      </c>
      <c r="V112" s="20">
        <v>8.9285714285714288</v>
      </c>
      <c r="W112" s="232">
        <v>39</v>
      </c>
      <c r="X112" s="239">
        <v>255</v>
      </c>
      <c r="Y112" s="236">
        <f t="shared" si="3"/>
        <v>17.58502897763795</v>
      </c>
    </row>
    <row r="113" spans="1:25">
      <c r="A113">
        <v>103</v>
      </c>
      <c r="B113">
        <v>0</v>
      </c>
      <c r="C113" s="252" t="s">
        <v>494</v>
      </c>
      <c r="D113" s="253" t="s">
        <v>493</v>
      </c>
      <c r="E113" s="252" t="s">
        <v>107</v>
      </c>
      <c r="F113" s="252" t="s">
        <v>108</v>
      </c>
      <c r="G113" s="350">
        <v>4</v>
      </c>
      <c r="H113" s="351">
        <v>3</v>
      </c>
      <c r="I113">
        <v>0</v>
      </c>
      <c r="J113">
        <v>0</v>
      </c>
      <c r="K113" s="305">
        <v>4.6329202497331288</v>
      </c>
      <c r="L113" s="305">
        <v>4.0952380952380949</v>
      </c>
      <c r="M113" s="305">
        <v>1.4549542184434272</v>
      </c>
      <c r="N113" s="305">
        <v>4.6659901957987202</v>
      </c>
      <c r="O113" s="240">
        <v>153</v>
      </c>
      <c r="P113" s="305">
        <v>8.6486920486920482</v>
      </c>
      <c r="Q113" s="305">
        <v>6.027874564459931</v>
      </c>
      <c r="R113" s="232">
        <v>61</v>
      </c>
      <c r="S113" s="305">
        <v>1.157648072500242</v>
      </c>
      <c r="T113" s="20">
        <v>3.5088035320115436</v>
      </c>
      <c r="U113" s="305">
        <v>4.8571428571428568</v>
      </c>
      <c r="V113" s="305">
        <v>5.7142857142857135</v>
      </c>
      <c r="W113" s="232">
        <v>146</v>
      </c>
      <c r="X113" s="239">
        <v>360</v>
      </c>
      <c r="Y113" s="236">
        <f t="shared" si="3"/>
        <v>13.549620298248364</v>
      </c>
    </row>
    <row r="114" spans="1:25">
      <c r="A114">
        <v>104</v>
      </c>
      <c r="B114">
        <v>0</v>
      </c>
      <c r="C114" s="252" t="s">
        <v>590</v>
      </c>
      <c r="D114" s="253" t="s">
        <v>589</v>
      </c>
      <c r="E114" s="252" t="s">
        <v>111</v>
      </c>
      <c r="F114" s="252" t="s">
        <v>110</v>
      </c>
      <c r="G114" s="350">
        <v>2</v>
      </c>
      <c r="H114" s="351">
        <v>2</v>
      </c>
      <c r="I114">
        <v>0</v>
      </c>
      <c r="J114">
        <v>0</v>
      </c>
      <c r="K114" s="305">
        <v>7.8617684370597631</v>
      </c>
      <c r="L114" s="305">
        <v>6.8412698412698418</v>
      </c>
      <c r="M114" s="305">
        <v>6.3700294310006536</v>
      </c>
      <c r="N114" s="305">
        <v>5.8289212656190257</v>
      </c>
      <c r="O114" s="240">
        <v>3</v>
      </c>
      <c r="P114" s="305">
        <v>8.0489380989380983</v>
      </c>
      <c r="Q114" s="305">
        <v>8.3484320557491287</v>
      </c>
      <c r="R114" s="232">
        <v>6</v>
      </c>
      <c r="S114" s="305">
        <v>3.1802547665347025</v>
      </c>
      <c r="T114" s="20">
        <v>4.7236322120666285</v>
      </c>
      <c r="U114" s="305">
        <v>6.4285714285714279</v>
      </c>
      <c r="V114" s="305">
        <v>6.6666666666666679</v>
      </c>
      <c r="W114" s="232">
        <v>76</v>
      </c>
      <c r="X114" s="239">
        <v>85</v>
      </c>
      <c r="Y114" s="236">
        <f t="shared" si="3"/>
        <v>20.323710567946307</v>
      </c>
    </row>
    <row r="115" spans="1:25">
      <c r="A115">
        <v>106</v>
      </c>
      <c r="B115">
        <v>0</v>
      </c>
      <c r="C115" s="252" t="s">
        <v>592</v>
      </c>
      <c r="D115" s="253" t="s">
        <v>591</v>
      </c>
      <c r="E115" s="252" t="s">
        <v>111</v>
      </c>
      <c r="F115" s="252" t="s">
        <v>110</v>
      </c>
      <c r="G115" s="350">
        <v>2</v>
      </c>
      <c r="H115" s="351">
        <v>2</v>
      </c>
      <c r="I115">
        <v>0</v>
      </c>
      <c r="J115">
        <v>0</v>
      </c>
      <c r="K115" s="305">
        <v>7.8931252719236609</v>
      </c>
      <c r="L115" s="305">
        <v>6.3325396825396822</v>
      </c>
      <c r="M115" s="305">
        <v>5.533158927403532</v>
      </c>
      <c r="N115" s="305">
        <v>6.1559200299146539</v>
      </c>
      <c r="O115" s="240">
        <v>9</v>
      </c>
      <c r="P115" s="305">
        <v>7.9212121212121218</v>
      </c>
      <c r="Q115" s="305">
        <v>7.9198606271777017</v>
      </c>
      <c r="R115" s="232">
        <v>18</v>
      </c>
      <c r="S115" s="305">
        <v>3.0140170329557239</v>
      </c>
      <c r="T115" s="20">
        <v>5.2190614088770646</v>
      </c>
      <c r="U115" s="305">
        <v>6.746031746031746</v>
      </c>
      <c r="V115" s="305">
        <v>7.6190476190476186</v>
      </c>
      <c r="W115" s="232">
        <v>56</v>
      </c>
      <c r="X115" s="239">
        <v>83</v>
      </c>
      <c r="Y115" s="236">
        <f t="shared" si="3"/>
        <v>20.048086056851123</v>
      </c>
    </row>
    <row r="116" spans="1:25">
      <c r="A116">
        <v>107</v>
      </c>
      <c r="B116">
        <v>0</v>
      </c>
      <c r="C116" s="252" t="s">
        <v>650</v>
      </c>
      <c r="D116" s="253" t="s">
        <v>649</v>
      </c>
      <c r="E116" s="252" t="s">
        <v>113</v>
      </c>
      <c r="F116" s="252" t="s">
        <v>134</v>
      </c>
      <c r="G116" s="350">
        <v>3</v>
      </c>
      <c r="H116" s="351">
        <v>3</v>
      </c>
      <c r="I116">
        <v>0</v>
      </c>
      <c r="J116">
        <v>0</v>
      </c>
      <c r="K116" s="305">
        <v>7.3283066955100153</v>
      </c>
      <c r="L116" s="305">
        <v>5.7091575091575102</v>
      </c>
      <c r="M116" s="305">
        <v>1.7379332897318509</v>
      </c>
      <c r="N116" s="305">
        <v>6.0022973750735069</v>
      </c>
      <c r="O116" s="240">
        <v>60</v>
      </c>
      <c r="P116" s="305">
        <v>7.5193861693861699</v>
      </c>
      <c r="Q116" s="305">
        <v>7.1881533101045312</v>
      </c>
      <c r="R116" s="232">
        <v>58</v>
      </c>
      <c r="S116" s="305">
        <v>3.5774795019338073</v>
      </c>
      <c r="T116" s="20">
        <v>5.605927548488391</v>
      </c>
      <c r="U116" s="305">
        <v>7.2967032967032965</v>
      </c>
      <c r="V116" s="305">
        <v>8.8571428571428577</v>
      </c>
      <c r="W116" s="232">
        <v>25</v>
      </c>
      <c r="X116" s="239">
        <v>143</v>
      </c>
      <c r="Y116" s="236">
        <f t="shared" si="3"/>
        <v>18.71689032853984</v>
      </c>
    </row>
    <row r="117" spans="1:25">
      <c r="A117">
        <v>109</v>
      </c>
      <c r="B117">
        <v>0</v>
      </c>
      <c r="C117" s="252" t="s">
        <v>458</v>
      </c>
      <c r="D117" s="253" t="s">
        <v>457</v>
      </c>
      <c r="E117" s="252" t="s">
        <v>109</v>
      </c>
      <c r="F117" s="252" t="s">
        <v>117</v>
      </c>
      <c r="G117" s="350">
        <v>3</v>
      </c>
      <c r="H117" s="351">
        <v>3</v>
      </c>
      <c r="I117">
        <v>0</v>
      </c>
      <c r="J117">
        <v>0</v>
      </c>
      <c r="K117" s="20">
        <v>7.5750336345905485</v>
      </c>
      <c r="L117" s="20">
        <v>4.3071428571428569</v>
      </c>
      <c r="M117" s="20">
        <v>4.7952746893394371</v>
      </c>
      <c r="N117" s="20">
        <v>5.1451328865600754</v>
      </c>
      <c r="O117" s="240">
        <v>46</v>
      </c>
      <c r="P117" s="20">
        <v>7.8416083916083918</v>
      </c>
      <c r="Q117" s="20">
        <v>6.6132404181184672</v>
      </c>
      <c r="R117" s="232">
        <v>69</v>
      </c>
      <c r="S117" s="20">
        <v>3.3304586036765307</v>
      </c>
      <c r="T117" s="20">
        <v>3.5001849341297566</v>
      </c>
      <c r="U117" s="20">
        <v>5.7142857142857135</v>
      </c>
      <c r="V117" s="20">
        <v>5.7142857142857135</v>
      </c>
      <c r="W117" s="232">
        <v>113</v>
      </c>
      <c r="X117" s="239">
        <v>228</v>
      </c>
      <c r="Y117" s="236">
        <f t="shared" si="3"/>
        <v>16.633690176621123</v>
      </c>
    </row>
    <row r="118" spans="1:25">
      <c r="A118">
        <v>110</v>
      </c>
      <c r="B118">
        <v>0</v>
      </c>
      <c r="C118" s="252" t="s">
        <v>410</v>
      </c>
      <c r="D118" s="253" t="s">
        <v>409</v>
      </c>
      <c r="E118" s="252" t="s">
        <v>107</v>
      </c>
      <c r="F118" s="252" t="s">
        <v>133</v>
      </c>
      <c r="G118" s="350">
        <v>4</v>
      </c>
      <c r="H118" s="351">
        <v>3</v>
      </c>
      <c r="I118">
        <v>0</v>
      </c>
      <c r="J118">
        <v>0</v>
      </c>
      <c r="K118" s="20">
        <v>7.2386027422664743</v>
      </c>
      <c r="L118" s="20">
        <v>5.2117063492063496</v>
      </c>
      <c r="M118" s="20">
        <v>1.4328319162851537</v>
      </c>
      <c r="N118" s="20">
        <v>5.5271450009171499</v>
      </c>
      <c r="O118" s="240">
        <v>91</v>
      </c>
      <c r="P118" s="20">
        <v>6.2027842527842525</v>
      </c>
      <c r="Q118" s="20">
        <v>7.6062717770034851</v>
      </c>
      <c r="R118" s="232">
        <v>97</v>
      </c>
      <c r="S118" s="20">
        <v>2.4027721263363149</v>
      </c>
      <c r="T118" s="20">
        <v>4.818469927322937</v>
      </c>
      <c r="U118" s="20">
        <v>6.6547619047619051</v>
      </c>
      <c r="V118" s="20">
        <v>9.0476190476190474</v>
      </c>
      <c r="W118" s="232">
        <v>54</v>
      </c>
      <c r="X118" s="239">
        <v>242</v>
      </c>
      <c r="Y118" s="236">
        <f t="shared" si="3"/>
        <v>18.189749030682318</v>
      </c>
    </row>
    <row r="119" spans="1:25">
      <c r="A119">
        <v>111</v>
      </c>
      <c r="B119">
        <v>0</v>
      </c>
      <c r="C119" s="252" t="s">
        <v>506</v>
      </c>
      <c r="D119" s="253" t="s">
        <v>505</v>
      </c>
      <c r="E119" s="252" t="s">
        <v>106</v>
      </c>
      <c r="F119" s="252" t="s">
        <v>106</v>
      </c>
      <c r="G119" s="350">
        <v>3</v>
      </c>
      <c r="H119" s="351">
        <v>3</v>
      </c>
      <c r="I119">
        <v>0</v>
      </c>
      <c r="J119">
        <v>0</v>
      </c>
      <c r="K119" s="20">
        <v>6.8422747743850723</v>
      </c>
      <c r="L119" s="20">
        <v>4.4119047619047613</v>
      </c>
      <c r="M119" s="20">
        <v>2.4689993459777635</v>
      </c>
      <c r="N119" s="20">
        <v>3.7343482950699425</v>
      </c>
      <c r="O119" s="240">
        <v>124</v>
      </c>
      <c r="P119" s="20">
        <v>7.7194120694120691</v>
      </c>
      <c r="Q119" s="20">
        <v>6.1219512195121952</v>
      </c>
      <c r="R119" s="232">
        <v>95</v>
      </c>
      <c r="S119" s="20">
        <v>1.1406864227243023</v>
      </c>
      <c r="T119" s="20">
        <v>3.5952380952380949</v>
      </c>
      <c r="U119" s="20">
        <v>6.4126984126984121</v>
      </c>
      <c r="V119" s="20">
        <v>5.7142857142857135</v>
      </c>
      <c r="W119" s="232">
        <v>129</v>
      </c>
      <c r="X119" s="239">
        <v>348</v>
      </c>
      <c r="Y119" s="236">
        <f t="shared" si="3"/>
        <v>14.702060175083211</v>
      </c>
    </row>
    <row r="120" spans="1:25">
      <c r="A120">
        <v>112</v>
      </c>
      <c r="B120">
        <v>0</v>
      </c>
      <c r="C120" s="252" t="s">
        <v>654</v>
      </c>
      <c r="D120" s="253" t="s">
        <v>653</v>
      </c>
      <c r="E120" s="252" t="s">
        <v>115</v>
      </c>
      <c r="F120" s="252" t="s">
        <v>124</v>
      </c>
      <c r="G120" s="350">
        <v>2</v>
      </c>
      <c r="H120" s="351">
        <v>2</v>
      </c>
      <c r="I120">
        <v>0</v>
      </c>
      <c r="J120">
        <v>0</v>
      </c>
      <c r="K120" s="305">
        <v>8.000799264535587</v>
      </c>
      <c r="L120" s="305">
        <v>4.8930785296574761</v>
      </c>
      <c r="M120" s="305">
        <v>3.5208142576847612</v>
      </c>
      <c r="N120" s="305">
        <v>6.7828128240865091</v>
      </c>
      <c r="O120" s="240">
        <v>28</v>
      </c>
      <c r="P120" s="305">
        <v>5.6120564620564615</v>
      </c>
      <c r="Q120" s="305">
        <v>8.1393728222996522</v>
      </c>
      <c r="R120" s="232">
        <v>100</v>
      </c>
      <c r="S120" s="305">
        <v>3.9046522632324785</v>
      </c>
      <c r="T120" s="20">
        <v>7.7464212285694947</v>
      </c>
      <c r="U120" s="305">
        <v>6.1538011695906434</v>
      </c>
      <c r="V120" s="305">
        <v>9.3984962406015029</v>
      </c>
      <c r="W120" s="232">
        <v>5</v>
      </c>
      <c r="X120" s="239">
        <v>133</v>
      </c>
      <c r="Y120" s="236">
        <f t="shared" si="3"/>
        <v>20.739591766789268</v>
      </c>
    </row>
    <row r="121" spans="1:25">
      <c r="A121">
        <v>113</v>
      </c>
      <c r="B121">
        <v>0</v>
      </c>
      <c r="C121" s="252" t="s">
        <v>303</v>
      </c>
      <c r="D121" s="253" t="s">
        <v>302</v>
      </c>
      <c r="E121" s="252" t="s">
        <v>119</v>
      </c>
      <c r="F121" s="252" t="s">
        <v>136</v>
      </c>
      <c r="G121" s="350"/>
      <c r="H121" s="351">
        <v>3</v>
      </c>
      <c r="I121">
        <v>0</v>
      </c>
      <c r="J121">
        <v>0</v>
      </c>
      <c r="K121" s="20">
        <v>1</v>
      </c>
      <c r="L121" s="20">
        <v>3.214285714285714</v>
      </c>
      <c r="M121" s="20">
        <v>1.6441955526487901</v>
      </c>
      <c r="N121" s="20">
        <v>6.0597431206426782</v>
      </c>
      <c r="O121" s="240">
        <v>163</v>
      </c>
      <c r="P121" s="20">
        <v>7.6731157731157733</v>
      </c>
      <c r="Q121" s="20">
        <v>1</v>
      </c>
      <c r="R121" s="232">
        <v>156</v>
      </c>
      <c r="S121" s="20">
        <v>1.4460530289269344</v>
      </c>
      <c r="T121" s="20">
        <v>3.7775043255780871</v>
      </c>
      <c r="U121" s="20">
        <v>6.1904761904761907</v>
      </c>
      <c r="V121" s="20">
        <v>7.6190476190476186</v>
      </c>
      <c r="W121" s="232">
        <v>104</v>
      </c>
      <c r="X121" s="239">
        <v>423</v>
      </c>
      <c r="Y121" s="236">
        <f t="shared" si="3"/>
        <v>8.737826387901503</v>
      </c>
    </row>
    <row r="122" spans="1:25">
      <c r="A122">
        <v>114</v>
      </c>
      <c r="B122">
        <v>0</v>
      </c>
      <c r="C122" s="252" t="s">
        <v>392</v>
      </c>
      <c r="D122" s="253" t="s">
        <v>148</v>
      </c>
      <c r="E122" s="252" t="s">
        <v>109</v>
      </c>
      <c r="F122" s="252" t="s">
        <v>110</v>
      </c>
      <c r="G122" s="350">
        <v>2</v>
      </c>
      <c r="H122" s="351">
        <v>2</v>
      </c>
      <c r="I122">
        <v>0</v>
      </c>
      <c r="J122">
        <v>0</v>
      </c>
      <c r="K122" s="305">
        <v>4.5464250053653927</v>
      </c>
      <c r="L122" s="305">
        <v>5.6214285714285719</v>
      </c>
      <c r="M122" s="305">
        <v>4.2278449967298881</v>
      </c>
      <c r="N122" s="305">
        <v>5.822239352586223</v>
      </c>
      <c r="O122" s="240">
        <v>70</v>
      </c>
      <c r="P122" s="305">
        <v>7.6620046620046622</v>
      </c>
      <c r="Q122" s="305">
        <v>7.8675958188153325</v>
      </c>
      <c r="R122" s="232">
        <v>30</v>
      </c>
      <c r="S122" s="305">
        <v>2.5901351427961727</v>
      </c>
      <c r="T122" s="20">
        <v>3.5638594053378343</v>
      </c>
      <c r="U122" s="305">
        <v>5.7142857142857135</v>
      </c>
      <c r="V122" s="305">
        <v>5.7142857142857135</v>
      </c>
      <c r="W122" s="232">
        <v>121</v>
      </c>
      <c r="X122" s="239">
        <v>221</v>
      </c>
      <c r="Y122" s="236">
        <f t="shared" si="3"/>
        <v>17.317721794519208</v>
      </c>
    </row>
    <row r="123" spans="1:25">
      <c r="A123">
        <v>115</v>
      </c>
      <c r="B123">
        <v>0</v>
      </c>
      <c r="C123" s="252" t="s">
        <v>496</v>
      </c>
      <c r="D123" s="253" t="s">
        <v>495</v>
      </c>
      <c r="E123" s="252" t="s">
        <v>107</v>
      </c>
      <c r="F123" s="252" t="s">
        <v>122</v>
      </c>
      <c r="G123" s="350">
        <v>4</v>
      </c>
      <c r="H123" s="351">
        <v>3</v>
      </c>
      <c r="I123">
        <v>0</v>
      </c>
      <c r="J123">
        <v>0</v>
      </c>
      <c r="K123" s="20">
        <v>6.102676842433584</v>
      </c>
      <c r="L123" s="20">
        <v>4.1592857142857138</v>
      </c>
      <c r="M123" s="20">
        <v>1.2446991497710922</v>
      </c>
      <c r="N123" s="20">
        <v>5.2367856341018584</v>
      </c>
      <c r="O123" s="240">
        <v>134</v>
      </c>
      <c r="P123" s="20">
        <v>7.7638565138565134</v>
      </c>
      <c r="Q123" s="20">
        <v>6.8118466898954715</v>
      </c>
      <c r="R123" s="232">
        <v>65</v>
      </c>
      <c r="S123" s="20">
        <v>2.1791055442534835</v>
      </c>
      <c r="T123" s="20">
        <v>5.0008642093473412</v>
      </c>
      <c r="U123" s="20">
        <v>5.3095238095238093</v>
      </c>
      <c r="V123" s="20">
        <v>7.5</v>
      </c>
      <c r="W123" s="232">
        <v>89</v>
      </c>
      <c r="X123" s="239">
        <v>288</v>
      </c>
      <c r="Y123" s="236">
        <f t="shared" si="3"/>
        <v>15.995081915824692</v>
      </c>
    </row>
    <row r="124" spans="1:25">
      <c r="A124">
        <v>117</v>
      </c>
      <c r="B124">
        <v>0</v>
      </c>
      <c r="C124" s="252" t="s">
        <v>500</v>
      </c>
      <c r="D124" s="253" t="s">
        <v>499</v>
      </c>
      <c r="E124" s="252" t="s">
        <v>119</v>
      </c>
      <c r="F124" s="252" t="s">
        <v>125</v>
      </c>
      <c r="G124" s="350">
        <v>4</v>
      </c>
      <c r="H124" s="351">
        <v>3</v>
      </c>
      <c r="I124">
        <v>0</v>
      </c>
      <c r="J124">
        <v>0</v>
      </c>
      <c r="K124" s="305">
        <v>6.9893776796030824</v>
      </c>
      <c r="L124" s="305">
        <v>4.549206349206349</v>
      </c>
      <c r="M124" s="305">
        <v>1.4396991497710923</v>
      </c>
      <c r="N124" s="305">
        <v>5.6002162904799588</v>
      </c>
      <c r="O124" s="240">
        <v>106</v>
      </c>
      <c r="P124" s="305">
        <v>6.8455192955192956</v>
      </c>
      <c r="Q124" s="305">
        <v>4.8362369337979096</v>
      </c>
      <c r="R124" s="232">
        <v>144</v>
      </c>
      <c r="S124" s="305">
        <v>3.122868297871745</v>
      </c>
      <c r="T124" s="20">
        <v>5.1621476180173769</v>
      </c>
      <c r="U124" s="305">
        <v>6.3888888888888893</v>
      </c>
      <c r="V124" s="305">
        <v>8.8095238095238102</v>
      </c>
      <c r="W124" s="232">
        <v>46</v>
      </c>
      <c r="X124" s="239">
        <v>296</v>
      </c>
      <c r="Y124" s="236">
        <f t="shared" si="3"/>
        <v>15.351718954638486</v>
      </c>
    </row>
    <row r="125" spans="1:25">
      <c r="A125">
        <v>118</v>
      </c>
      <c r="B125">
        <v>0</v>
      </c>
      <c r="C125" s="1" t="s">
        <v>464</v>
      </c>
      <c r="D125" s="253" t="s">
        <v>463</v>
      </c>
      <c r="E125" s="252" t="s">
        <v>109</v>
      </c>
      <c r="F125" s="252" t="s">
        <v>110</v>
      </c>
      <c r="G125" s="350">
        <v>2</v>
      </c>
      <c r="H125" s="352">
        <v>2</v>
      </c>
      <c r="I125">
        <v>0</v>
      </c>
      <c r="J125">
        <v>0</v>
      </c>
      <c r="K125" s="305">
        <v>5.3499658690538299</v>
      </c>
      <c r="L125" s="305">
        <v>1</v>
      </c>
      <c r="M125" s="305">
        <v>3.6517822105951603</v>
      </c>
      <c r="N125" s="305">
        <v>5.9420699345292274</v>
      </c>
      <c r="O125" s="240">
        <v>142</v>
      </c>
      <c r="P125" s="305">
        <v>7.6953379953379955</v>
      </c>
      <c r="Q125" s="305">
        <v>7.6480836236933802</v>
      </c>
      <c r="R125" s="232">
        <v>37</v>
      </c>
      <c r="S125" s="305">
        <v>1.1965435800686757</v>
      </c>
      <c r="T125" s="20">
        <v>4.6543118177571738</v>
      </c>
      <c r="U125" s="305">
        <v>6.7619047619047619</v>
      </c>
      <c r="V125" s="305">
        <v>7.1428571428571432</v>
      </c>
      <c r="W125" s="232">
        <v>93</v>
      </c>
      <c r="X125" s="239">
        <v>272</v>
      </c>
      <c r="Y125" s="236">
        <f t="shared" si="3"/>
        <v>16.572942452884874</v>
      </c>
    </row>
    <row r="126" spans="1:25">
      <c r="A126">
        <v>119</v>
      </c>
      <c r="B126">
        <v>0</v>
      </c>
      <c r="C126" s="252" t="s">
        <v>610</v>
      </c>
      <c r="D126" s="253" t="s">
        <v>609</v>
      </c>
      <c r="E126" s="252" t="s">
        <v>119</v>
      </c>
      <c r="F126" s="252" t="s">
        <v>128</v>
      </c>
      <c r="G126" s="350">
        <v>3</v>
      </c>
      <c r="H126" s="351">
        <v>3</v>
      </c>
      <c r="I126">
        <v>0</v>
      </c>
      <c r="J126">
        <v>0</v>
      </c>
      <c r="K126" s="305">
        <v>6.8467306541016786</v>
      </c>
      <c r="L126" s="305">
        <v>5.5285714285714285</v>
      </c>
      <c r="M126" s="305">
        <v>4.735627861347286</v>
      </c>
      <c r="N126" s="305">
        <v>6.2734279609279611</v>
      </c>
      <c r="O126" s="240">
        <v>26</v>
      </c>
      <c r="P126" s="305">
        <v>7.5102564102564102</v>
      </c>
      <c r="Q126" s="305">
        <v>7.2717770034843205</v>
      </c>
      <c r="R126" s="232">
        <v>56</v>
      </c>
      <c r="S126" s="305">
        <v>2.5535846409592957</v>
      </c>
      <c r="T126" s="20">
        <v>5.5394419569404398</v>
      </c>
      <c r="U126" s="305">
        <v>6.2579365079365088</v>
      </c>
      <c r="V126" s="305">
        <v>9.4642857142857135</v>
      </c>
      <c r="W126" s="232">
        <v>43</v>
      </c>
      <c r="X126" s="239">
        <v>125</v>
      </c>
      <c r="Y126" s="236">
        <f t="shared" si="3"/>
        <v>19.071678684751898</v>
      </c>
    </row>
    <row r="127" spans="1:25">
      <c r="A127">
        <v>120</v>
      </c>
      <c r="B127">
        <v>0</v>
      </c>
      <c r="C127" s="252" t="s">
        <v>490</v>
      </c>
      <c r="D127" s="253" t="s">
        <v>489</v>
      </c>
      <c r="E127" s="252" t="s">
        <v>107</v>
      </c>
      <c r="F127" s="252" t="s">
        <v>108</v>
      </c>
      <c r="G127" s="350">
        <v>4</v>
      </c>
      <c r="H127" s="351">
        <v>3</v>
      </c>
      <c r="I127">
        <v>0</v>
      </c>
      <c r="J127">
        <v>0</v>
      </c>
      <c r="K127" s="20">
        <v>7.3833266622711076</v>
      </c>
      <c r="L127" s="20">
        <v>4.7166666666666668</v>
      </c>
      <c r="M127" s="20">
        <v>1.2930837148463046</v>
      </c>
      <c r="N127" s="20">
        <v>5.4841010033247999</v>
      </c>
      <c r="O127" s="240">
        <v>100</v>
      </c>
      <c r="P127" s="20">
        <v>7.2675990675990674</v>
      </c>
      <c r="Q127" s="20">
        <v>6.8536585365853666</v>
      </c>
      <c r="R127" s="232">
        <v>81</v>
      </c>
      <c r="S127" s="20">
        <v>2.1333285444102015</v>
      </c>
      <c r="T127" s="20">
        <v>4.1802873216268761</v>
      </c>
      <c r="U127" s="20">
        <v>6.1269841269841265</v>
      </c>
      <c r="V127" s="20">
        <v>8.2857142857142847</v>
      </c>
      <c r="W127" s="232">
        <v>85</v>
      </c>
      <c r="X127" s="239">
        <v>266</v>
      </c>
      <c r="Y127" s="236">
        <f t="shared" si="3"/>
        <v>16.754531618046457</v>
      </c>
    </row>
    <row r="128" spans="1:25">
      <c r="A128">
        <v>121</v>
      </c>
      <c r="B128">
        <v>0</v>
      </c>
      <c r="C128" s="252" t="s">
        <v>257</v>
      </c>
      <c r="D128" s="253" t="s">
        <v>256</v>
      </c>
      <c r="E128" s="252" t="s">
        <v>107</v>
      </c>
      <c r="F128" s="252" t="s">
        <v>122</v>
      </c>
      <c r="G128" s="350">
        <v>4</v>
      </c>
      <c r="H128" s="351">
        <v>3</v>
      </c>
      <c r="I128">
        <v>0</v>
      </c>
      <c r="J128">
        <v>0</v>
      </c>
      <c r="K128" s="305">
        <v>4.5797741245135715</v>
      </c>
      <c r="L128" s="305">
        <v>3.4797619047619044</v>
      </c>
      <c r="M128" s="305">
        <v>1.2181327665140613</v>
      </c>
      <c r="N128" s="305">
        <v>5.25913489076056</v>
      </c>
      <c r="O128" s="240">
        <v>156</v>
      </c>
      <c r="P128" s="305">
        <v>7.5639212639212641</v>
      </c>
      <c r="Q128" s="305">
        <v>6.4355400696864118</v>
      </c>
      <c r="R128" s="232">
        <v>84</v>
      </c>
      <c r="S128" s="305">
        <v>2.6208009030177308</v>
      </c>
      <c r="T128" s="20">
        <v>4.0265742785990932</v>
      </c>
      <c r="U128" s="305">
        <v>5.666666666666667</v>
      </c>
      <c r="V128" s="305">
        <v>5.7142857142857135</v>
      </c>
      <c r="W128" s="232">
        <v>116</v>
      </c>
      <c r="X128" s="239">
        <v>356</v>
      </c>
      <c r="Y128" s="236">
        <f t="shared" si="3"/>
        <v>14.576822881966237</v>
      </c>
    </row>
    <row r="129" spans="1:110">
      <c r="A129">
        <v>122</v>
      </c>
      <c r="B129">
        <v>0</v>
      </c>
      <c r="C129" s="252" t="s">
        <v>380</v>
      </c>
      <c r="D129" s="253" t="s">
        <v>379</v>
      </c>
      <c r="E129" s="252" t="s">
        <v>107</v>
      </c>
      <c r="F129" s="252" t="s">
        <v>133</v>
      </c>
      <c r="G129" s="350">
        <v>2</v>
      </c>
      <c r="H129" s="351">
        <v>2</v>
      </c>
      <c r="I129">
        <v>0</v>
      </c>
      <c r="J129">
        <v>0</v>
      </c>
      <c r="K129" s="305">
        <v>8.3175943110702555</v>
      </c>
      <c r="L129" s="305">
        <v>6.4380952380952383</v>
      </c>
      <c r="M129" s="305">
        <v>2.7910725964682799</v>
      </c>
      <c r="N129" s="305">
        <v>4.1819583795368915</v>
      </c>
      <c r="O129" s="240">
        <v>47</v>
      </c>
      <c r="P129" s="305">
        <v>6.2365190365190362</v>
      </c>
      <c r="Q129" s="305">
        <v>8.9756097560975618</v>
      </c>
      <c r="R129" s="232">
        <v>41</v>
      </c>
      <c r="S129" s="305">
        <v>2.8195764978483226</v>
      </c>
      <c r="T129" s="20">
        <v>4.0088518990174569</v>
      </c>
      <c r="U129" s="305">
        <v>6.333333333333333</v>
      </c>
      <c r="V129" s="305">
        <v>6.2857142857142865</v>
      </c>
      <c r="W129" s="232">
        <v>97</v>
      </c>
      <c r="X129" s="239">
        <v>185</v>
      </c>
      <c r="Y129" s="236">
        <f t="shared" si="3"/>
        <v>19.269658891368579</v>
      </c>
    </row>
    <row r="130" spans="1:110">
      <c r="A130">
        <v>123</v>
      </c>
      <c r="B130">
        <v>0</v>
      </c>
      <c r="C130" s="252" t="s">
        <v>482</v>
      </c>
      <c r="D130" s="253" t="s">
        <v>481</v>
      </c>
      <c r="E130" s="252" t="s">
        <v>107</v>
      </c>
      <c r="F130" s="252" t="s">
        <v>108</v>
      </c>
      <c r="G130" s="350">
        <v>4</v>
      </c>
      <c r="H130" s="351">
        <v>3</v>
      </c>
      <c r="I130">
        <v>0</v>
      </c>
      <c r="J130">
        <v>0</v>
      </c>
      <c r="K130" s="20">
        <v>6.8085134817191619</v>
      </c>
      <c r="L130" s="20">
        <v>5.4704081632653061</v>
      </c>
      <c r="M130" s="20">
        <v>1.3902060170045782</v>
      </c>
      <c r="N130" s="20">
        <v>4.9198691277929143</v>
      </c>
      <c r="O130" s="240">
        <v>105</v>
      </c>
      <c r="P130" s="20">
        <v>7.2102693602693595</v>
      </c>
      <c r="Q130" s="20">
        <v>6.6550522648083632</v>
      </c>
      <c r="R130" s="232">
        <v>92</v>
      </c>
      <c r="S130" s="20">
        <v>2.5248079995536918</v>
      </c>
      <c r="T130" s="20">
        <v>4.6869102839534884</v>
      </c>
      <c r="U130" s="20">
        <v>6.4591836734693873</v>
      </c>
      <c r="V130" s="20">
        <v>8.5714285714285712</v>
      </c>
      <c r="W130" s="232">
        <v>59</v>
      </c>
      <c r="X130" s="239">
        <v>256</v>
      </c>
      <c r="Y130" s="236">
        <f t="shared" ref="Y130:Y161" si="4">(((AVERAGE(K130:N130)+AVERAGE(Q130+AVERAGE(S130:V130)))))</f>
        <v>16.862884094355138</v>
      </c>
    </row>
    <row r="131" spans="1:110">
      <c r="A131">
        <v>124</v>
      </c>
      <c r="B131">
        <v>0</v>
      </c>
      <c r="C131" s="252" t="s">
        <v>251</v>
      </c>
      <c r="D131" s="253" t="s">
        <v>250</v>
      </c>
      <c r="E131" s="252" t="s">
        <v>119</v>
      </c>
      <c r="F131" s="252" t="s">
        <v>125</v>
      </c>
      <c r="G131" s="350">
        <v>2</v>
      </c>
      <c r="H131" s="351">
        <v>2</v>
      </c>
      <c r="I131">
        <v>0</v>
      </c>
      <c r="J131">
        <v>0</v>
      </c>
      <c r="K131" s="305">
        <v>7.9667391548417799</v>
      </c>
      <c r="L131" s="305">
        <v>2.7</v>
      </c>
      <c r="M131" s="305">
        <v>2.0668247220405496</v>
      </c>
      <c r="N131" s="305">
        <v>4.4712677182136309</v>
      </c>
      <c r="O131" s="240">
        <v>127</v>
      </c>
      <c r="P131" s="305">
        <v>4.0583916083916085</v>
      </c>
      <c r="Q131" s="305">
        <v>7.7735191637630656</v>
      </c>
      <c r="R131" s="232">
        <v>143</v>
      </c>
      <c r="S131" s="305">
        <v>3.6235191727230132</v>
      </c>
      <c r="T131" s="20">
        <v>1.8718616621734006</v>
      </c>
      <c r="U131" s="305">
        <v>1</v>
      </c>
      <c r="V131" s="305">
        <v>6.6666666666666679</v>
      </c>
      <c r="W131" s="232">
        <v>152</v>
      </c>
      <c r="X131" s="239">
        <v>422</v>
      </c>
      <c r="Y131" s="236">
        <f t="shared" si="4"/>
        <v>15.365238937927826</v>
      </c>
    </row>
    <row r="132" spans="1:110">
      <c r="A132">
        <v>125</v>
      </c>
      <c r="B132">
        <v>0</v>
      </c>
      <c r="C132" s="252" t="s">
        <v>358</v>
      </c>
      <c r="D132" s="253" t="s">
        <v>357</v>
      </c>
      <c r="E132" s="252" t="s">
        <v>107</v>
      </c>
      <c r="F132" s="252" t="s">
        <v>108</v>
      </c>
      <c r="G132" s="350">
        <v>3</v>
      </c>
      <c r="H132" s="351">
        <v>3</v>
      </c>
      <c r="I132">
        <v>0</v>
      </c>
      <c r="J132">
        <v>0</v>
      </c>
      <c r="K132" s="20">
        <v>5.7242933704828403</v>
      </c>
      <c r="L132" s="20">
        <v>5.9300685425685424</v>
      </c>
      <c r="M132" s="20">
        <v>2.0786461739699149</v>
      </c>
      <c r="N132" s="20">
        <v>5.8009373249512084</v>
      </c>
      <c r="O132" s="240">
        <v>86</v>
      </c>
      <c r="P132" s="20">
        <v>7.3676767676767678</v>
      </c>
      <c r="Q132" s="20">
        <v>7.5017421602787469</v>
      </c>
      <c r="R132" s="232">
        <v>52</v>
      </c>
      <c r="S132" s="20">
        <v>2.0551801510854948</v>
      </c>
      <c r="T132" s="20">
        <v>4.5004961625154891</v>
      </c>
      <c r="U132" s="20">
        <v>8.1282467532467546</v>
      </c>
      <c r="V132" s="20">
        <v>9.1071428571428577</v>
      </c>
      <c r="W132" s="232">
        <v>44</v>
      </c>
      <c r="X132" s="239">
        <v>182</v>
      </c>
      <c r="Y132" s="236">
        <f t="shared" si="4"/>
        <v>18.332994994269519</v>
      </c>
    </row>
    <row r="133" spans="1:110">
      <c r="A133">
        <v>126</v>
      </c>
      <c r="B133">
        <v>0</v>
      </c>
      <c r="C133" s="252" t="s">
        <v>285</v>
      </c>
      <c r="D133" s="253" t="s">
        <v>284</v>
      </c>
      <c r="E133" s="252" t="s">
        <v>107</v>
      </c>
      <c r="F133" s="252" t="s">
        <v>122</v>
      </c>
      <c r="G133" s="350">
        <v>4</v>
      </c>
      <c r="H133" s="351">
        <v>4</v>
      </c>
      <c r="I133">
        <v>0</v>
      </c>
      <c r="J133">
        <v>0</v>
      </c>
      <c r="K133" s="20">
        <v>6.7737838271061168</v>
      </c>
      <c r="L133" s="20">
        <v>3.4585714285714291</v>
      </c>
      <c r="M133" s="20">
        <v>1.1312132112491824</v>
      </c>
      <c r="N133" s="20">
        <v>4.7439184298024379</v>
      </c>
      <c r="O133" s="240">
        <v>140</v>
      </c>
      <c r="P133" s="20">
        <v>7.4621341621341619</v>
      </c>
      <c r="Q133" s="20">
        <v>6.529616724738676</v>
      </c>
      <c r="R133" s="232">
        <v>85</v>
      </c>
      <c r="S133" s="20">
        <v>2.1855994409466741</v>
      </c>
      <c r="T133" s="20">
        <v>3.5074247752083445</v>
      </c>
      <c r="U133" s="20">
        <v>4.2857142857142856</v>
      </c>
      <c r="V133" s="20">
        <v>5.7142857142857135</v>
      </c>
      <c r="W133" s="232">
        <v>142</v>
      </c>
      <c r="X133" s="239">
        <v>367</v>
      </c>
      <c r="Y133" s="236">
        <f t="shared" si="4"/>
        <v>14.479744502959722</v>
      </c>
    </row>
    <row r="134" spans="1:110">
      <c r="A134">
        <v>127</v>
      </c>
      <c r="B134">
        <v>0</v>
      </c>
      <c r="C134" s="252" t="s">
        <v>313</v>
      </c>
      <c r="D134" s="253" t="s">
        <v>312</v>
      </c>
      <c r="E134" s="252" t="s">
        <v>107</v>
      </c>
      <c r="F134" s="252" t="s">
        <v>122</v>
      </c>
      <c r="G134" s="350">
        <v>4</v>
      </c>
      <c r="H134" s="351">
        <v>3</v>
      </c>
      <c r="I134">
        <v>0</v>
      </c>
      <c r="J134">
        <v>0</v>
      </c>
      <c r="K134" s="305">
        <v>6.6537284575492661</v>
      </c>
      <c r="L134" s="305">
        <v>2.1485714285714286</v>
      </c>
      <c r="M134" s="305">
        <v>1.4345977763243951</v>
      </c>
      <c r="N134" s="305">
        <v>5.5064095199343202</v>
      </c>
      <c r="O134" s="240">
        <v>145</v>
      </c>
      <c r="P134" s="305">
        <v>6.032802382802382</v>
      </c>
      <c r="Q134" s="305">
        <v>6.9372822299651569</v>
      </c>
      <c r="R134" s="232">
        <v>127</v>
      </c>
      <c r="S134" s="305">
        <v>2.6019001504967036</v>
      </c>
      <c r="T134" s="20">
        <v>4.0628303862257393</v>
      </c>
      <c r="U134" s="305">
        <v>4.2857142857142856</v>
      </c>
      <c r="V134" s="305">
        <v>2.8571428571428568</v>
      </c>
      <c r="W134" s="232">
        <v>150</v>
      </c>
      <c r="X134" s="239">
        <v>422</v>
      </c>
      <c r="Y134" s="236">
        <f t="shared" si="4"/>
        <v>14.325005945454906</v>
      </c>
    </row>
    <row r="135" spans="1:110">
      <c r="A135">
        <v>128</v>
      </c>
      <c r="B135">
        <v>0</v>
      </c>
      <c r="C135" s="252" t="s">
        <v>438</v>
      </c>
      <c r="D135" s="253" t="s">
        <v>437</v>
      </c>
      <c r="E135" s="252" t="s">
        <v>115</v>
      </c>
      <c r="F135" s="252" t="s">
        <v>124</v>
      </c>
      <c r="G135" s="350">
        <v>3</v>
      </c>
      <c r="H135" s="351">
        <v>3</v>
      </c>
      <c r="I135">
        <v>0</v>
      </c>
      <c r="J135">
        <v>0</v>
      </c>
      <c r="K135" s="20">
        <v>7.3608092999051919</v>
      </c>
      <c r="L135" s="20">
        <v>4.6031746031746028</v>
      </c>
      <c r="M135" s="20">
        <v>1.5436396337475473</v>
      </c>
      <c r="N135" s="20">
        <v>5.9875035727038357</v>
      </c>
      <c r="O135" s="240">
        <v>88</v>
      </c>
      <c r="P135" s="20">
        <v>7.1177285677285678</v>
      </c>
      <c r="Q135" s="20">
        <v>7.0940766550522643</v>
      </c>
      <c r="R135" s="232">
        <v>79</v>
      </c>
      <c r="S135" s="20">
        <v>3.6039411976562055</v>
      </c>
      <c r="T135" s="20">
        <v>5.4611495174963167</v>
      </c>
      <c r="U135" s="20">
        <v>4.8492063492063489</v>
      </c>
      <c r="V135" s="20">
        <v>7.1428571428571432</v>
      </c>
      <c r="W135" s="232">
        <v>75</v>
      </c>
      <c r="X135" s="239">
        <v>242</v>
      </c>
      <c r="Y135" s="236">
        <f t="shared" si="4"/>
        <v>17.232146984239062</v>
      </c>
    </row>
    <row r="136" spans="1:110" s="263" customFormat="1">
      <c r="A136">
        <v>132</v>
      </c>
      <c r="B136">
        <v>0</v>
      </c>
      <c r="C136" s="252" t="s">
        <v>394</v>
      </c>
      <c r="D136" s="253" t="s">
        <v>393</v>
      </c>
      <c r="E136" s="252" t="s">
        <v>106</v>
      </c>
      <c r="F136" s="252" t="s">
        <v>106</v>
      </c>
      <c r="G136" s="350">
        <v>4</v>
      </c>
      <c r="H136" s="351">
        <v>3</v>
      </c>
      <c r="I136">
        <v>0</v>
      </c>
      <c r="J136">
        <v>0</v>
      </c>
      <c r="K136" s="305">
        <v>5.9331680165844958</v>
      </c>
      <c r="L136" s="305">
        <v>6.3285714285714283</v>
      </c>
      <c r="M136" s="305">
        <v>2.9020274689339436</v>
      </c>
      <c r="N136" s="305">
        <v>6.5022819008946708</v>
      </c>
      <c r="O136" s="240">
        <v>72</v>
      </c>
      <c r="P136" s="305">
        <v>7.6694120694120702</v>
      </c>
      <c r="Q136" s="305">
        <v>8.07665505226481</v>
      </c>
      <c r="R136" s="232">
        <v>105</v>
      </c>
      <c r="S136" s="305">
        <v>1.1347918426299475</v>
      </c>
      <c r="T136" s="20">
        <v>5.9306630761014523</v>
      </c>
      <c r="U136" s="305">
        <v>7.2380952380952381</v>
      </c>
      <c r="V136" s="305">
        <v>7.8571428571428568</v>
      </c>
      <c r="W136" s="232">
        <v>7</v>
      </c>
      <c r="X136" s="239">
        <v>184</v>
      </c>
      <c r="Y136" s="236">
        <f t="shared" si="4"/>
        <v>19.033340509503319</v>
      </c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/>
      <c r="AT136"/>
      <c r="AU136"/>
      <c r="AV136"/>
      <c r="AW136"/>
      <c r="AX136"/>
      <c r="AY136"/>
      <c r="AZ136"/>
      <c r="BA136"/>
      <c r="BB136"/>
      <c r="BC136"/>
      <c r="BD136"/>
      <c r="BE136"/>
      <c r="BF136"/>
      <c r="BG136"/>
      <c r="BH136"/>
      <c r="BI136"/>
      <c r="BJ136"/>
      <c r="BK136"/>
      <c r="BL136"/>
      <c r="BM136"/>
      <c r="BN136"/>
      <c r="BO136"/>
      <c r="BP136"/>
      <c r="BQ136"/>
      <c r="BR136"/>
      <c r="BS136"/>
      <c r="BT136"/>
      <c r="BU136"/>
      <c r="BV136"/>
      <c r="BW136"/>
      <c r="BX136"/>
      <c r="BY136"/>
      <c r="BZ136"/>
      <c r="CA136"/>
      <c r="CB136"/>
      <c r="CC136"/>
      <c r="CD136"/>
      <c r="CE136"/>
      <c r="CF136"/>
      <c r="CG136"/>
      <c r="CH136"/>
      <c r="CI136"/>
      <c r="CJ136"/>
      <c r="CK136"/>
      <c r="CL136"/>
      <c r="CM136"/>
      <c r="CN136"/>
      <c r="CO136"/>
      <c r="CP136"/>
      <c r="CQ136"/>
      <c r="CR136"/>
      <c r="CS136"/>
      <c r="CT136"/>
      <c r="CU136"/>
      <c r="CV136"/>
      <c r="CW136"/>
      <c r="CX136"/>
      <c r="CY136"/>
      <c r="CZ136"/>
      <c r="DA136"/>
      <c r="DB136"/>
      <c r="DC136"/>
      <c r="DD136"/>
      <c r="DE136"/>
      <c r="DF136"/>
    </row>
    <row r="137" spans="1:110">
      <c r="A137">
        <v>135</v>
      </c>
      <c r="B137">
        <v>0</v>
      </c>
      <c r="C137" s="252" t="s">
        <v>620</v>
      </c>
      <c r="D137" s="253" t="s">
        <v>619</v>
      </c>
      <c r="E137" s="252" t="s">
        <v>113</v>
      </c>
      <c r="F137" s="252" t="s">
        <v>114</v>
      </c>
      <c r="G137" s="350">
        <v>3</v>
      </c>
      <c r="H137" s="351">
        <v>2</v>
      </c>
      <c r="I137">
        <v>0</v>
      </c>
      <c r="J137">
        <v>0</v>
      </c>
      <c r="K137" s="305">
        <v>7.9090226388452294</v>
      </c>
      <c r="L137" s="305">
        <v>5.6392857142857142</v>
      </c>
      <c r="M137" s="305">
        <v>2.7349574885546111</v>
      </c>
      <c r="N137" s="305">
        <v>6.5615834213958486</v>
      </c>
      <c r="O137" s="240">
        <v>49</v>
      </c>
      <c r="P137" s="305">
        <v>6.7694250194250198</v>
      </c>
      <c r="Q137" s="305">
        <v>7.7735191637630656</v>
      </c>
      <c r="R137" s="232">
        <v>22</v>
      </c>
      <c r="S137" s="305">
        <v>3.5805379423867678</v>
      </c>
      <c r="T137" s="20">
        <v>4.8538621324472917</v>
      </c>
      <c r="U137" s="305">
        <v>5.7738095238095228</v>
      </c>
      <c r="V137" s="305">
        <v>8.5714285714285712</v>
      </c>
      <c r="W137" s="232">
        <v>73</v>
      </c>
      <c r="X137" s="239">
        <v>144</v>
      </c>
      <c r="Y137" s="236">
        <f t="shared" si="4"/>
        <v>19.179641022051456</v>
      </c>
      <c r="AS137" s="263"/>
      <c r="AT137" s="263"/>
      <c r="AU137" s="263"/>
      <c r="AV137" s="263"/>
      <c r="AW137" s="263"/>
      <c r="AX137" s="263"/>
      <c r="AY137" s="263"/>
      <c r="AZ137" s="263"/>
      <c r="BA137" s="263"/>
      <c r="BB137" s="263"/>
      <c r="BC137" s="263"/>
      <c r="BD137" s="263"/>
      <c r="BE137" s="263"/>
      <c r="BF137" s="263"/>
      <c r="BG137" s="263"/>
      <c r="BH137" s="263"/>
      <c r="BI137" s="263"/>
      <c r="BJ137" s="263"/>
      <c r="BK137" s="263"/>
      <c r="BL137" s="263"/>
      <c r="BM137" s="263"/>
      <c r="BN137" s="263"/>
      <c r="BO137" s="263"/>
      <c r="BP137" s="263"/>
      <c r="BQ137" s="263"/>
      <c r="BR137" s="263"/>
      <c r="BS137" s="263"/>
      <c r="BT137" s="263"/>
      <c r="BU137" s="263"/>
      <c r="BV137" s="263"/>
      <c r="BW137" s="263"/>
      <c r="BX137" s="263"/>
      <c r="BY137" s="263"/>
      <c r="BZ137" s="263"/>
      <c r="CA137" s="263"/>
      <c r="CB137" s="263"/>
      <c r="CC137" s="263"/>
      <c r="CD137" s="263"/>
      <c r="CE137" s="263"/>
      <c r="CF137" s="263"/>
      <c r="CG137" s="263"/>
      <c r="CH137" s="263"/>
      <c r="CI137" s="263"/>
      <c r="CJ137" s="263"/>
      <c r="CK137" s="263"/>
      <c r="CL137" s="263"/>
      <c r="CM137" s="263"/>
      <c r="CN137" s="263"/>
      <c r="CO137" s="263"/>
      <c r="CP137" s="263"/>
      <c r="CQ137" s="263"/>
      <c r="CR137" s="263"/>
      <c r="CS137" s="263"/>
      <c r="CT137" s="263"/>
      <c r="CU137" s="263"/>
      <c r="CV137" s="263"/>
      <c r="CW137" s="263"/>
      <c r="CX137" s="263"/>
      <c r="CY137" s="263"/>
      <c r="CZ137" s="263"/>
      <c r="DA137" s="263"/>
      <c r="DB137" s="263"/>
      <c r="DC137" s="263"/>
      <c r="DD137" s="263"/>
      <c r="DE137" s="263"/>
      <c r="DF137" s="263"/>
    </row>
    <row r="138" spans="1:110" s="263" customFormat="1">
      <c r="A138">
        <v>136</v>
      </c>
      <c r="B138">
        <v>0</v>
      </c>
      <c r="C138" s="252" t="s">
        <v>488</v>
      </c>
      <c r="D138" s="253" t="s">
        <v>487</v>
      </c>
      <c r="E138" s="252" t="s">
        <v>106</v>
      </c>
      <c r="F138" s="252" t="s">
        <v>106</v>
      </c>
      <c r="G138" s="350">
        <v>3</v>
      </c>
      <c r="H138" s="351">
        <v>3</v>
      </c>
      <c r="I138">
        <v>0</v>
      </c>
      <c r="J138">
        <v>0</v>
      </c>
      <c r="K138" s="20">
        <v>7.7836121658529489</v>
      </c>
      <c r="L138" s="20">
        <v>5.4810405643738989</v>
      </c>
      <c r="M138" s="20">
        <v>2.3037933289731853</v>
      </c>
      <c r="N138" s="20">
        <v>6.7626895665723268</v>
      </c>
      <c r="O138" s="240">
        <v>138</v>
      </c>
      <c r="P138" s="20">
        <v>6.2564620564620572</v>
      </c>
      <c r="Q138" s="20">
        <v>8.0662020905923342</v>
      </c>
      <c r="R138" s="232">
        <v>102</v>
      </c>
      <c r="S138" s="20">
        <v>3.6099576939801676</v>
      </c>
      <c r="T138" s="20">
        <v>5.5939248530410852</v>
      </c>
      <c r="U138" s="20">
        <v>7.9148148148148154</v>
      </c>
      <c r="V138" s="20">
        <v>9.4708994708994716</v>
      </c>
      <c r="W138" s="232">
        <v>35</v>
      </c>
      <c r="X138" s="239">
        <v>275</v>
      </c>
      <c r="Y138" s="236">
        <f t="shared" si="4"/>
        <v>20.296385205219309</v>
      </c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/>
      <c r="AT138"/>
      <c r="AU138"/>
      <c r="AV138"/>
      <c r="AW138"/>
      <c r="AX138"/>
      <c r="AY138"/>
      <c r="AZ138"/>
      <c r="BA138"/>
      <c r="BB138"/>
      <c r="BC138"/>
      <c r="BD138"/>
      <c r="BE138"/>
      <c r="BF138"/>
      <c r="BG138"/>
      <c r="BH138"/>
      <c r="BI138"/>
      <c r="BJ138"/>
      <c r="BK138"/>
      <c r="BL138"/>
      <c r="BM138"/>
      <c r="BN138"/>
      <c r="BO138"/>
      <c r="BP138"/>
      <c r="BQ138"/>
      <c r="BR138"/>
      <c r="BS138"/>
      <c r="BT138"/>
      <c r="BU138"/>
      <c r="BV138"/>
      <c r="BW138"/>
      <c r="BX138"/>
      <c r="BY138"/>
      <c r="BZ138"/>
      <c r="CA138"/>
      <c r="CB138"/>
      <c r="CC138"/>
      <c r="CD138"/>
      <c r="CE138"/>
      <c r="CF138"/>
      <c r="CG138"/>
      <c r="CH138"/>
      <c r="CI138"/>
      <c r="CJ138"/>
      <c r="CK138"/>
      <c r="CL138"/>
      <c r="CM138"/>
      <c r="CN138"/>
      <c r="CO138"/>
      <c r="CP138"/>
      <c r="CQ138"/>
      <c r="CR138"/>
      <c r="CS138"/>
      <c r="CT138"/>
      <c r="CU138"/>
      <c r="CV138"/>
      <c r="CW138"/>
      <c r="CX138"/>
      <c r="CY138"/>
      <c r="CZ138"/>
      <c r="DA138"/>
      <c r="DB138"/>
      <c r="DC138"/>
      <c r="DD138"/>
      <c r="DE138"/>
      <c r="DF138"/>
    </row>
    <row r="139" spans="1:110">
      <c r="A139">
        <v>137</v>
      </c>
      <c r="B139">
        <v>0</v>
      </c>
      <c r="C139" s="252" t="s">
        <v>634</v>
      </c>
      <c r="D139" s="253" t="s">
        <v>633</v>
      </c>
      <c r="E139" s="252" t="s">
        <v>115</v>
      </c>
      <c r="F139" s="252" t="s">
        <v>124</v>
      </c>
      <c r="G139" s="350">
        <v>2</v>
      </c>
      <c r="H139" s="351">
        <v>2</v>
      </c>
      <c r="I139">
        <v>0</v>
      </c>
      <c r="J139">
        <v>0</v>
      </c>
      <c r="K139" s="310">
        <v>7.5621393388766993</v>
      </c>
      <c r="L139" s="310">
        <v>4.8192063492063486</v>
      </c>
      <c r="M139" s="310">
        <v>1.9459614126880314</v>
      </c>
      <c r="N139" s="310">
        <v>6.8280299356805809</v>
      </c>
      <c r="O139" s="240">
        <v>30</v>
      </c>
      <c r="P139" s="310">
        <v>5.4900543900543903</v>
      </c>
      <c r="Q139" s="310">
        <v>6.8850174216027877</v>
      </c>
      <c r="R139" s="232">
        <v>66</v>
      </c>
      <c r="S139" s="310">
        <v>3.8379028642729067</v>
      </c>
      <c r="T139" s="20">
        <v>5.2469181991738436</v>
      </c>
      <c r="U139" s="310">
        <v>8.0714285714285712</v>
      </c>
      <c r="V139" s="310">
        <v>9.2857142857142865</v>
      </c>
      <c r="W139" s="232">
        <v>51</v>
      </c>
      <c r="X139" s="239">
        <v>147</v>
      </c>
      <c r="Y139" s="236">
        <f t="shared" si="4"/>
        <v>18.784342660863103</v>
      </c>
    </row>
    <row r="140" spans="1:110">
      <c r="A140">
        <v>138</v>
      </c>
      <c r="B140">
        <v>0</v>
      </c>
      <c r="C140" s="252" t="s">
        <v>624</v>
      </c>
      <c r="D140" s="253" t="s">
        <v>623</v>
      </c>
      <c r="E140" s="252" t="s">
        <v>115</v>
      </c>
      <c r="F140" s="252" t="s">
        <v>116</v>
      </c>
      <c r="G140" s="350">
        <v>2</v>
      </c>
      <c r="H140" s="351">
        <v>3</v>
      </c>
      <c r="I140">
        <v>0</v>
      </c>
      <c r="J140">
        <v>0</v>
      </c>
      <c r="K140" s="305">
        <v>6.6733731463806123</v>
      </c>
      <c r="L140" s="305">
        <v>4.1488095238095237</v>
      </c>
      <c r="M140" s="305">
        <v>3.6959777632439499</v>
      </c>
      <c r="N140" s="305">
        <v>7.5462353824811457</v>
      </c>
      <c r="O140" s="240">
        <v>36</v>
      </c>
      <c r="P140" s="305">
        <v>7.7175084175084177</v>
      </c>
      <c r="Q140" s="305">
        <v>1</v>
      </c>
      <c r="R140" s="232">
        <v>72</v>
      </c>
      <c r="S140" s="305">
        <v>2.1262157535243684</v>
      </c>
      <c r="T140" s="20">
        <v>6.3984514897529428</v>
      </c>
      <c r="U140" s="305">
        <v>6.8571428571428568</v>
      </c>
      <c r="V140" s="305">
        <v>7.8571428571428568</v>
      </c>
      <c r="W140" s="232">
        <v>4</v>
      </c>
      <c r="X140" s="239">
        <v>112</v>
      </c>
      <c r="Y140" s="236">
        <f t="shared" si="4"/>
        <v>12.325837193369566</v>
      </c>
      <c r="AS140" s="263"/>
      <c r="AT140" s="263"/>
      <c r="AU140" s="263"/>
      <c r="AV140" s="263"/>
      <c r="AW140" s="263"/>
      <c r="AX140" s="263"/>
      <c r="AY140" s="263"/>
      <c r="AZ140" s="263"/>
      <c r="BA140" s="263"/>
      <c r="BB140" s="263"/>
      <c r="BC140" s="263"/>
      <c r="BD140" s="263"/>
      <c r="BE140" s="263"/>
      <c r="BF140" s="263"/>
      <c r="BG140" s="263"/>
      <c r="BH140" s="263"/>
      <c r="BI140" s="263"/>
      <c r="BJ140" s="263"/>
      <c r="BK140" s="263"/>
      <c r="BL140" s="263"/>
      <c r="BM140" s="263"/>
      <c r="BN140" s="263"/>
      <c r="BO140" s="263"/>
      <c r="BP140" s="263"/>
      <c r="BQ140" s="263"/>
      <c r="BR140" s="263"/>
      <c r="BS140" s="263"/>
      <c r="BT140" s="263"/>
      <c r="BU140" s="263"/>
      <c r="BV140" s="263"/>
      <c r="BW140" s="263"/>
      <c r="BX140" s="263"/>
      <c r="BY140" s="263"/>
      <c r="BZ140" s="263"/>
      <c r="CA140" s="263"/>
      <c r="CB140" s="263"/>
      <c r="CC140" s="263"/>
      <c r="CD140" s="263"/>
      <c r="CE140" s="263"/>
      <c r="CF140" s="263"/>
      <c r="CG140" s="263"/>
      <c r="CH140" s="263"/>
      <c r="CI140" s="263"/>
      <c r="CJ140" s="263"/>
      <c r="CK140" s="263"/>
      <c r="CL140" s="263"/>
      <c r="CM140" s="263"/>
      <c r="CN140" s="263"/>
      <c r="CO140" s="263"/>
      <c r="CP140" s="263"/>
      <c r="CQ140" s="263"/>
      <c r="CR140" s="263"/>
      <c r="CS140" s="263"/>
      <c r="CT140" s="263"/>
      <c r="CU140" s="263"/>
      <c r="CV140" s="263"/>
      <c r="CW140" s="263"/>
      <c r="CX140" s="263"/>
      <c r="CY140" s="263"/>
      <c r="CZ140" s="263"/>
      <c r="DA140" s="263"/>
      <c r="DB140" s="263"/>
      <c r="DC140" s="263"/>
      <c r="DD140" s="263"/>
      <c r="DE140" s="263"/>
      <c r="DF140" s="263"/>
    </row>
    <row r="141" spans="1:110">
      <c r="A141">
        <v>139</v>
      </c>
      <c r="B141">
        <v>0</v>
      </c>
      <c r="C141" s="252" t="s">
        <v>398</v>
      </c>
      <c r="D141" s="253" t="s">
        <v>397</v>
      </c>
      <c r="E141" s="252" t="s">
        <v>119</v>
      </c>
      <c r="F141" s="252" t="s">
        <v>125</v>
      </c>
      <c r="G141" s="350">
        <v>3</v>
      </c>
      <c r="H141" s="351">
        <v>3</v>
      </c>
      <c r="I141">
        <v>0</v>
      </c>
      <c r="J141">
        <v>0</v>
      </c>
      <c r="K141" s="305">
        <v>6.974113353071127</v>
      </c>
      <c r="L141" s="305">
        <v>4.5103174603174603</v>
      </c>
      <c r="M141" s="305">
        <v>1.3578319162851535</v>
      </c>
      <c r="N141" s="305">
        <v>5.1692121568513123</v>
      </c>
      <c r="O141" s="240">
        <v>54</v>
      </c>
      <c r="P141" s="305">
        <v>6.5268842268842269</v>
      </c>
      <c r="Q141" s="305">
        <v>6.5923344947735192</v>
      </c>
      <c r="R141" s="232">
        <v>135</v>
      </c>
      <c r="S141" s="305">
        <v>3.0513940791051382</v>
      </c>
      <c r="T141" s="20">
        <v>4.9405385664427319</v>
      </c>
      <c r="U141" s="305">
        <v>6.4444444444444455</v>
      </c>
      <c r="V141" s="305">
        <v>8.2857142857142847</v>
      </c>
      <c r="W141" s="232">
        <v>13</v>
      </c>
      <c r="X141" s="239">
        <v>202</v>
      </c>
      <c r="Y141" s="236">
        <f t="shared" si="4"/>
        <v>16.775726060331433</v>
      </c>
    </row>
    <row r="142" spans="1:110">
      <c r="A142">
        <v>140</v>
      </c>
      <c r="B142">
        <v>0</v>
      </c>
      <c r="C142" s="252" t="s">
        <v>486</v>
      </c>
      <c r="D142" s="253" t="s">
        <v>485</v>
      </c>
      <c r="E142" s="252" t="s">
        <v>119</v>
      </c>
      <c r="F142" s="252" t="s">
        <v>136</v>
      </c>
      <c r="G142" s="350"/>
      <c r="H142" s="351">
        <v>3</v>
      </c>
      <c r="I142">
        <v>0</v>
      </c>
      <c r="J142">
        <v>0</v>
      </c>
      <c r="K142" s="305">
        <v>7.4647955794372125</v>
      </c>
      <c r="L142" s="305">
        <v>6.9309523809523803</v>
      </c>
      <c r="M142" s="305">
        <v>4.0539077828646182</v>
      </c>
      <c r="N142" s="305">
        <v>5.9077079963333192</v>
      </c>
      <c r="O142" s="240">
        <v>40</v>
      </c>
      <c r="P142" s="305">
        <v>7.8508547008547005</v>
      </c>
      <c r="Q142" s="305">
        <v>7.6062717770034851</v>
      </c>
      <c r="R142" s="232">
        <v>155</v>
      </c>
      <c r="S142" s="305">
        <v>3.6555490546870644</v>
      </c>
      <c r="T142" s="20">
        <v>4.4188417164171545</v>
      </c>
      <c r="U142" s="305">
        <v>6.5333333333333341</v>
      </c>
      <c r="V142" s="305">
        <v>7.1428571428571432</v>
      </c>
      <c r="W142" s="232">
        <v>72</v>
      </c>
      <c r="X142" s="239">
        <v>267</v>
      </c>
      <c r="Y142" s="236">
        <f t="shared" si="4"/>
        <v>19.133258023724043</v>
      </c>
    </row>
    <row r="143" spans="1:110">
      <c r="A143">
        <v>141</v>
      </c>
      <c r="B143">
        <v>0</v>
      </c>
      <c r="C143" s="252" t="s">
        <v>504</v>
      </c>
      <c r="D143" s="253" t="s">
        <v>503</v>
      </c>
      <c r="E143" s="252" t="s">
        <v>119</v>
      </c>
      <c r="F143" s="252" t="s">
        <v>136</v>
      </c>
      <c r="G143" s="350">
        <v>4</v>
      </c>
      <c r="H143" s="351">
        <v>3</v>
      </c>
      <c r="I143">
        <v>0</v>
      </c>
      <c r="J143">
        <v>0</v>
      </c>
      <c r="K143" s="20">
        <v>6.808129026413285</v>
      </c>
      <c r="L143" s="20">
        <v>1.2142857142857142</v>
      </c>
      <c r="M143" s="20">
        <v>7.516563113145847</v>
      </c>
      <c r="N143" s="20">
        <v>4.8252611945777995</v>
      </c>
      <c r="O143" s="240">
        <v>115</v>
      </c>
      <c r="P143" s="20">
        <v>7.1289173789173788</v>
      </c>
      <c r="Q143" s="20">
        <v>1.1045296167247387</v>
      </c>
      <c r="R143" s="232">
        <v>126</v>
      </c>
      <c r="S143" s="20">
        <v>1.0631724827129607</v>
      </c>
      <c r="T143" s="20">
        <v>4.6904616908309693</v>
      </c>
      <c r="U143" s="20">
        <v>2.9047619047619051</v>
      </c>
      <c r="V143" s="20">
        <v>1.4285714285714284</v>
      </c>
      <c r="W143" s="232">
        <v>57</v>
      </c>
      <c r="X143" s="239">
        <v>298</v>
      </c>
      <c r="Y143" s="236">
        <f t="shared" si="4"/>
        <v>8.7173312555497162</v>
      </c>
    </row>
    <row r="144" spans="1:110">
      <c r="A144">
        <v>142</v>
      </c>
      <c r="B144">
        <v>0</v>
      </c>
      <c r="C144" s="252" t="s">
        <v>608</v>
      </c>
      <c r="D144" s="253" t="s">
        <v>607</v>
      </c>
      <c r="E144" s="252" t="s">
        <v>111</v>
      </c>
      <c r="F144" s="252" t="s">
        <v>110</v>
      </c>
      <c r="G144" s="350">
        <v>1</v>
      </c>
      <c r="H144" s="351">
        <v>2</v>
      </c>
      <c r="I144">
        <v>1</v>
      </c>
      <c r="J144">
        <v>0</v>
      </c>
      <c r="K144" s="20">
        <v>7.6418581683090938</v>
      </c>
      <c r="L144" s="20">
        <v>4.1714285714285708</v>
      </c>
      <c r="M144" s="20">
        <v>2.1776814911706999</v>
      </c>
      <c r="N144" s="20">
        <v>5.7840954843808845</v>
      </c>
      <c r="O144" s="240">
        <v>20</v>
      </c>
      <c r="P144" s="20">
        <v>7.4324915824915827</v>
      </c>
      <c r="Q144" s="20">
        <v>7.4076655052264808</v>
      </c>
      <c r="R144" s="232">
        <v>32</v>
      </c>
      <c r="S144" s="20">
        <v>3.1501731051180659</v>
      </c>
      <c r="T144" s="20">
        <v>6.2752430664360492</v>
      </c>
      <c r="U144" s="20">
        <v>4.5</v>
      </c>
      <c r="V144" s="20">
        <v>5.7142857142857135</v>
      </c>
      <c r="W144" s="232">
        <v>45</v>
      </c>
      <c r="X144" s="239">
        <v>97</v>
      </c>
      <c r="Y144" s="236">
        <f t="shared" si="4"/>
        <v>17.261356905508748</v>
      </c>
    </row>
    <row r="145" spans="1:25">
      <c r="A145">
        <v>143</v>
      </c>
      <c r="B145">
        <v>0</v>
      </c>
      <c r="C145" s="252" t="s">
        <v>404</v>
      </c>
      <c r="D145" s="253" t="s">
        <v>153</v>
      </c>
      <c r="E145" s="252" t="s">
        <v>119</v>
      </c>
      <c r="F145" s="252" t="s">
        <v>128</v>
      </c>
      <c r="G145" s="350"/>
      <c r="H145" s="351">
        <v>4</v>
      </c>
      <c r="I145">
        <v>0</v>
      </c>
      <c r="J145">
        <v>0</v>
      </c>
      <c r="K145" s="20">
        <v>7.0267503783368337</v>
      </c>
      <c r="L145" s="20">
        <v>7.0742063492063494</v>
      </c>
      <c r="M145" s="20">
        <v>3.6911706998037936</v>
      </c>
      <c r="N145" s="20">
        <v>6.3444566243010465</v>
      </c>
      <c r="O145" s="240">
        <v>67</v>
      </c>
      <c r="P145" s="20">
        <v>7.7694120694120699</v>
      </c>
      <c r="Q145" s="20">
        <v>8.2125435540069702</v>
      </c>
      <c r="R145" s="232">
        <v>160</v>
      </c>
      <c r="S145" s="20">
        <v>1.1549170034963714</v>
      </c>
      <c r="T145" s="20">
        <v>2.5697812672920994</v>
      </c>
      <c r="U145" s="20">
        <v>5.9563492063492065</v>
      </c>
      <c r="V145" s="20">
        <v>5.7142857142857135</v>
      </c>
      <c r="W145" s="232">
        <v>162</v>
      </c>
      <c r="X145" s="239">
        <v>389</v>
      </c>
      <c r="Y145" s="236">
        <f t="shared" si="4"/>
        <v>18.095522864774821</v>
      </c>
    </row>
    <row r="146" spans="1:25">
      <c r="A146">
        <v>145</v>
      </c>
      <c r="B146">
        <v>0</v>
      </c>
      <c r="C146" s="252" t="s">
        <v>462</v>
      </c>
      <c r="D146" s="253" t="s">
        <v>461</v>
      </c>
      <c r="E146" s="252" t="s">
        <v>115</v>
      </c>
      <c r="F146" s="252" t="s">
        <v>116</v>
      </c>
      <c r="G146" s="350">
        <v>3</v>
      </c>
      <c r="H146" s="351">
        <v>3</v>
      </c>
      <c r="I146">
        <v>0</v>
      </c>
      <c r="J146">
        <v>0</v>
      </c>
      <c r="K146" s="20">
        <v>7.7957850412205234</v>
      </c>
      <c r="L146" s="20">
        <v>5.7357142857142858</v>
      </c>
      <c r="M146" s="20">
        <v>4.4134074558534984</v>
      </c>
      <c r="N146" s="20">
        <v>5.9037930288070353</v>
      </c>
      <c r="O146" s="240">
        <v>79</v>
      </c>
      <c r="P146" s="20">
        <v>7.7064491064491065</v>
      </c>
      <c r="Q146" s="20">
        <v>7.7108013937282243</v>
      </c>
      <c r="R146" s="232">
        <v>54</v>
      </c>
      <c r="S146" s="20">
        <v>3.4235485355983006</v>
      </c>
      <c r="T146" s="20">
        <v>3.7690441354401711</v>
      </c>
      <c r="U146" s="20">
        <v>7.4571428571428564</v>
      </c>
      <c r="V146" s="20">
        <v>8.8571428571428577</v>
      </c>
      <c r="W146" s="232">
        <v>126</v>
      </c>
      <c r="X146" s="239">
        <v>259</v>
      </c>
      <c r="Y146" s="236">
        <f t="shared" si="4"/>
        <v>19.54969594295811</v>
      </c>
    </row>
    <row r="147" spans="1:25">
      <c r="A147">
        <v>147</v>
      </c>
      <c r="B147">
        <v>0</v>
      </c>
      <c r="C147" s="252" t="s">
        <v>374</v>
      </c>
      <c r="D147" s="253" t="s">
        <v>373</v>
      </c>
      <c r="E147" s="252" t="s">
        <v>113</v>
      </c>
      <c r="F147" s="252" t="s">
        <v>114</v>
      </c>
      <c r="G147" s="350">
        <v>1</v>
      </c>
      <c r="H147" s="351">
        <v>2</v>
      </c>
      <c r="I147">
        <v>0</v>
      </c>
      <c r="J147">
        <v>0</v>
      </c>
      <c r="K147" s="20">
        <v>7.4641330656993388</v>
      </c>
      <c r="L147" s="20">
        <v>4.0942857142857143</v>
      </c>
      <c r="M147" s="20">
        <v>7.0789241334205366</v>
      </c>
      <c r="N147" s="20">
        <v>7.4130538266913781</v>
      </c>
      <c r="O147" s="240">
        <v>23</v>
      </c>
      <c r="P147" s="20">
        <v>7.5916342916342909</v>
      </c>
      <c r="Q147" s="20">
        <v>6.2578397212543555</v>
      </c>
      <c r="R147" s="232">
        <v>14</v>
      </c>
      <c r="S147" s="20">
        <v>3.1796028679849697</v>
      </c>
      <c r="T147" s="20">
        <v>3.297398560336346</v>
      </c>
      <c r="U147" s="20">
        <v>6.5238095238095228</v>
      </c>
      <c r="V147" s="20">
        <v>8.5714285714285712</v>
      </c>
      <c r="W147" s="232">
        <v>138</v>
      </c>
      <c r="X147" s="239">
        <v>175</v>
      </c>
      <c r="Y147" s="236">
        <f t="shared" si="4"/>
        <v>18.16349878716845</v>
      </c>
    </row>
    <row r="148" spans="1:25">
      <c r="A148">
        <v>148</v>
      </c>
      <c r="B148">
        <v>0</v>
      </c>
      <c r="C148" s="252" t="s">
        <v>154</v>
      </c>
      <c r="D148" s="253" t="s">
        <v>599</v>
      </c>
      <c r="E148" s="252" t="s">
        <v>111</v>
      </c>
      <c r="F148" s="252" t="s">
        <v>110</v>
      </c>
      <c r="G148" s="350">
        <v>2</v>
      </c>
      <c r="H148" s="351">
        <v>2</v>
      </c>
      <c r="I148">
        <v>0</v>
      </c>
      <c r="J148">
        <v>0</v>
      </c>
      <c r="K148" s="20">
        <v>7.2199595907300225</v>
      </c>
      <c r="L148" s="20">
        <v>5.3730158730158726</v>
      </c>
      <c r="M148" s="20">
        <v>1.5844506213211247</v>
      </c>
      <c r="N148" s="20">
        <v>4.6945290053910593</v>
      </c>
      <c r="O148" s="240">
        <v>24</v>
      </c>
      <c r="P148" s="20">
        <v>9.8981481481481488</v>
      </c>
      <c r="Q148" s="20">
        <v>7.1777003484320563</v>
      </c>
      <c r="R148" s="232">
        <v>34</v>
      </c>
      <c r="S148" s="20">
        <v>2.3028963295073432</v>
      </c>
      <c r="T148" s="20">
        <v>5.6016813193819699</v>
      </c>
      <c r="U148" s="20">
        <v>7.5809523809523816</v>
      </c>
      <c r="V148" s="20">
        <v>9.5238095238095237</v>
      </c>
      <c r="W148" s="232">
        <v>24</v>
      </c>
      <c r="X148" s="239">
        <v>82</v>
      </c>
      <c r="Y148" s="236">
        <f t="shared" si="4"/>
        <v>18.14802400945938</v>
      </c>
    </row>
    <row r="149" spans="1:25">
      <c r="A149">
        <v>149</v>
      </c>
      <c r="B149">
        <v>0</v>
      </c>
      <c r="C149" s="252" t="s">
        <v>626</v>
      </c>
      <c r="D149" s="253" t="s">
        <v>155</v>
      </c>
      <c r="E149" s="252" t="s">
        <v>109</v>
      </c>
      <c r="F149" s="252" t="s">
        <v>117</v>
      </c>
      <c r="G149" s="350">
        <v>2</v>
      </c>
      <c r="H149" s="351">
        <v>2</v>
      </c>
      <c r="I149">
        <v>0</v>
      </c>
      <c r="J149">
        <v>0</v>
      </c>
      <c r="K149" s="20">
        <v>7.2322952850728086</v>
      </c>
      <c r="L149" s="20">
        <v>5.7071428571428573</v>
      </c>
      <c r="M149" s="20">
        <v>2.8167756703727926</v>
      </c>
      <c r="N149" s="20">
        <v>6.4174622931593737</v>
      </c>
      <c r="O149" s="240">
        <v>8</v>
      </c>
      <c r="P149" s="20">
        <v>7.6323750323750321</v>
      </c>
      <c r="Q149" s="20">
        <v>7.7003484320557494</v>
      </c>
      <c r="R149" s="232">
        <v>94</v>
      </c>
      <c r="S149" s="20">
        <v>3.6268601033357868</v>
      </c>
      <c r="T149" s="20">
        <v>7.1441310170742156</v>
      </c>
      <c r="U149" s="20">
        <v>4.9999999999999991</v>
      </c>
      <c r="V149" s="20">
        <v>5.7142857142857135</v>
      </c>
      <c r="W149" s="232">
        <v>21</v>
      </c>
      <c r="X149" s="239">
        <v>123</v>
      </c>
      <c r="Y149" s="236">
        <f t="shared" si="4"/>
        <v>18.615086667166636</v>
      </c>
    </row>
    <row r="150" spans="1:25">
      <c r="A150">
        <v>150</v>
      </c>
      <c r="B150">
        <v>0</v>
      </c>
      <c r="C150" s="252" t="s">
        <v>648</v>
      </c>
      <c r="D150" s="253" t="s">
        <v>647</v>
      </c>
      <c r="E150" s="252" t="s">
        <v>107</v>
      </c>
      <c r="F150" s="252" t="s">
        <v>121</v>
      </c>
      <c r="G150" s="350">
        <v>4</v>
      </c>
      <c r="H150" s="351">
        <v>3</v>
      </c>
      <c r="I150">
        <v>0</v>
      </c>
      <c r="J150">
        <v>0</v>
      </c>
      <c r="K150" s="20">
        <v>6.0557944442518146</v>
      </c>
      <c r="L150" s="20">
        <v>3.0097619047619046</v>
      </c>
      <c r="M150" s="20">
        <v>1.4311641595814257</v>
      </c>
      <c r="N150" s="20">
        <v>4.9474973933685886</v>
      </c>
      <c r="O150" s="240">
        <v>101</v>
      </c>
      <c r="P150" s="20">
        <v>7.3380341880341877</v>
      </c>
      <c r="Q150" s="20">
        <v>1</v>
      </c>
      <c r="R150" s="232">
        <v>2</v>
      </c>
      <c r="S150" s="20">
        <v>2.3012260509021751</v>
      </c>
      <c r="T150" s="20">
        <v>4.4823165259054143</v>
      </c>
      <c r="U150" s="20">
        <v>4.1428571428571423</v>
      </c>
      <c r="V150" s="20">
        <v>5.7142857142857135</v>
      </c>
      <c r="W150" s="232">
        <v>40</v>
      </c>
      <c r="X150" s="239">
        <v>143</v>
      </c>
      <c r="Y150" s="236">
        <f t="shared" si="4"/>
        <v>9.0212258339785443</v>
      </c>
    </row>
    <row r="151" spans="1:25">
      <c r="A151">
        <v>151</v>
      </c>
      <c r="B151">
        <v>0</v>
      </c>
      <c r="C151" s="252" t="s">
        <v>368</v>
      </c>
      <c r="D151" s="253" t="s">
        <v>367</v>
      </c>
      <c r="E151" s="252" t="s">
        <v>113</v>
      </c>
      <c r="F151" s="252" t="s">
        <v>114</v>
      </c>
      <c r="G151" s="350">
        <v>2</v>
      </c>
      <c r="H151" s="351">
        <v>2</v>
      </c>
      <c r="I151">
        <v>0</v>
      </c>
      <c r="J151">
        <v>0</v>
      </c>
      <c r="K151" s="305">
        <v>6.0044802062882301</v>
      </c>
      <c r="L151" s="305">
        <v>5.2595238095238095</v>
      </c>
      <c r="M151" s="305">
        <v>1.1373495748855462</v>
      </c>
      <c r="N151" s="305">
        <v>5.8228038450292914</v>
      </c>
      <c r="O151" s="240">
        <v>38</v>
      </c>
      <c r="P151" s="305">
        <v>7.5065138565138572</v>
      </c>
      <c r="Q151" s="305">
        <v>6.7073170731707323</v>
      </c>
      <c r="R151" s="232">
        <v>38</v>
      </c>
      <c r="S151" s="305">
        <v>2.7660647822668292</v>
      </c>
      <c r="T151" s="20">
        <v>5.4833173988859674</v>
      </c>
      <c r="U151" s="305">
        <v>7.6190476190476186</v>
      </c>
      <c r="V151" s="305">
        <v>8.0952380952380949</v>
      </c>
      <c r="W151" s="232">
        <v>92</v>
      </c>
      <c r="X151" s="239">
        <v>168</v>
      </c>
      <c r="Y151" s="236">
        <f t="shared" si="4"/>
        <v>17.254273405962081</v>
      </c>
    </row>
    <row r="152" spans="1:25">
      <c r="A152">
        <v>152</v>
      </c>
      <c r="B152">
        <v>0</v>
      </c>
      <c r="C152" s="252" t="s">
        <v>294</v>
      </c>
      <c r="D152" s="253" t="s">
        <v>293</v>
      </c>
      <c r="E152" s="252" t="s">
        <v>113</v>
      </c>
      <c r="F152" s="252" t="s">
        <v>134</v>
      </c>
      <c r="G152" s="350">
        <v>4</v>
      </c>
      <c r="H152" s="351">
        <v>3</v>
      </c>
      <c r="I152">
        <v>0</v>
      </c>
      <c r="J152">
        <v>0</v>
      </c>
      <c r="K152" s="305">
        <v>8.1992593505972753</v>
      </c>
      <c r="L152" s="305">
        <v>9.0547619047619037</v>
      </c>
      <c r="M152" s="305">
        <v>3.0586984957488559</v>
      </c>
      <c r="N152" s="305">
        <v>4.5264988286748151</v>
      </c>
      <c r="O152" s="240">
        <v>150</v>
      </c>
      <c r="P152" s="305">
        <v>7.2027454027454034</v>
      </c>
      <c r="Q152" s="305">
        <v>10</v>
      </c>
      <c r="R152" s="232">
        <v>158</v>
      </c>
      <c r="S152" s="305">
        <v>3.4443687778197187</v>
      </c>
      <c r="T152" s="20">
        <v>4.3386665465224947</v>
      </c>
      <c r="U152" s="305">
        <v>6.3809523809523805</v>
      </c>
      <c r="V152" s="305">
        <v>4.5714285714285721</v>
      </c>
      <c r="W152" s="232">
        <v>135</v>
      </c>
      <c r="X152" s="239">
        <v>443</v>
      </c>
      <c r="Y152" s="236">
        <f t="shared" si="4"/>
        <v>20.893658714126506</v>
      </c>
    </row>
    <row r="153" spans="1:25">
      <c r="A153">
        <v>153</v>
      </c>
      <c r="B153">
        <v>0</v>
      </c>
      <c r="C153" s="252" t="s">
        <v>434</v>
      </c>
      <c r="D153" s="253" t="s">
        <v>433</v>
      </c>
      <c r="E153" s="252" t="s">
        <v>107</v>
      </c>
      <c r="F153" s="252" t="s">
        <v>122</v>
      </c>
      <c r="G153" s="350">
        <v>4</v>
      </c>
      <c r="H153" s="351">
        <v>3</v>
      </c>
      <c r="I153">
        <v>0</v>
      </c>
      <c r="J153">
        <v>0</v>
      </c>
      <c r="K153" s="20">
        <v>4.2690728572261794</v>
      </c>
      <c r="L153" s="20">
        <v>4.8642857142857139</v>
      </c>
      <c r="M153" s="20">
        <v>1.5418737737083061</v>
      </c>
      <c r="N153" s="20">
        <v>5.0102390039638154</v>
      </c>
      <c r="O153" s="240">
        <v>112</v>
      </c>
      <c r="P153" s="20">
        <v>6.8529655529655535</v>
      </c>
      <c r="Q153" s="20">
        <v>5.484320557491289</v>
      </c>
      <c r="R153" s="232">
        <v>78</v>
      </c>
      <c r="S153" s="20">
        <v>1.1749346911725331</v>
      </c>
      <c r="T153" s="20">
        <v>6.1663630321149352</v>
      </c>
      <c r="U153" s="20">
        <v>6.3095238095238102</v>
      </c>
      <c r="V153" s="20">
        <v>7.1428571428571432</v>
      </c>
      <c r="W153" s="232">
        <v>32</v>
      </c>
      <c r="X153" s="239">
        <v>222</v>
      </c>
      <c r="Y153" s="236">
        <f t="shared" si="4"/>
        <v>14.604108063704398</v>
      </c>
    </row>
    <row r="154" spans="1:25">
      <c r="A154">
        <v>154</v>
      </c>
      <c r="B154">
        <v>0</v>
      </c>
      <c r="C154" s="252" t="s">
        <v>618</v>
      </c>
      <c r="D154" s="253" t="s">
        <v>617</v>
      </c>
      <c r="E154" s="252" t="s">
        <v>119</v>
      </c>
      <c r="F154" s="252" t="s">
        <v>125</v>
      </c>
      <c r="G154" s="350">
        <v>1</v>
      </c>
      <c r="H154" s="351">
        <v>2</v>
      </c>
      <c r="I154">
        <v>0</v>
      </c>
      <c r="J154">
        <v>0</v>
      </c>
      <c r="K154" s="305">
        <v>6.302371200072538</v>
      </c>
      <c r="L154" s="305">
        <v>3.5214285714285714</v>
      </c>
      <c r="M154" s="305">
        <v>1.1635873119686069</v>
      </c>
      <c r="N154" s="305">
        <v>4.5732862873024143</v>
      </c>
      <c r="O154" s="240">
        <v>18</v>
      </c>
      <c r="P154" s="305">
        <v>7.2843175343175339</v>
      </c>
      <c r="Q154" s="305">
        <v>6.0069686411149821</v>
      </c>
      <c r="R154" s="232">
        <v>1</v>
      </c>
      <c r="S154" s="305">
        <v>2.0642555553741251</v>
      </c>
      <c r="T154" s="20">
        <v>4.1512860785616708</v>
      </c>
      <c r="U154" s="305">
        <v>2.8571428571428568</v>
      </c>
      <c r="V154" s="305">
        <v>4.2857142857142856</v>
      </c>
      <c r="W154" s="232">
        <v>111</v>
      </c>
      <c r="X154" s="239">
        <v>130</v>
      </c>
      <c r="Y154" s="236">
        <f t="shared" si="4"/>
        <v>13.236736678006249</v>
      </c>
    </row>
    <row r="155" spans="1:25">
      <c r="A155">
        <v>155</v>
      </c>
      <c r="B155">
        <v>0</v>
      </c>
      <c r="C155" s="252" t="s">
        <v>243</v>
      </c>
      <c r="D155" s="253" t="s">
        <v>242</v>
      </c>
      <c r="E155" s="252" t="s">
        <v>119</v>
      </c>
      <c r="F155" s="252" t="s">
        <v>136</v>
      </c>
      <c r="G155" s="350">
        <v>3</v>
      </c>
      <c r="H155" s="351">
        <v>3</v>
      </c>
      <c r="I155">
        <v>0</v>
      </c>
      <c r="J155">
        <v>0</v>
      </c>
      <c r="K155" s="20">
        <v>7.8153158621611452</v>
      </c>
      <c r="L155" s="20">
        <v>4.5678571428571422</v>
      </c>
      <c r="M155" s="20">
        <v>2.1044473512099415</v>
      </c>
      <c r="N155" s="20">
        <v>5.2546344291549749</v>
      </c>
      <c r="O155" s="240">
        <v>146</v>
      </c>
      <c r="P155" s="20">
        <v>7.1085211085211082</v>
      </c>
      <c r="Q155" s="20">
        <v>8.3066202090592345</v>
      </c>
      <c r="R155" s="232">
        <v>137</v>
      </c>
      <c r="S155" s="20">
        <v>3.6652800510329508</v>
      </c>
      <c r="T155" s="20">
        <v>4.0538166961799007</v>
      </c>
      <c r="U155" s="20">
        <v>4.4484126984126986</v>
      </c>
      <c r="V155" s="20">
        <v>5.7142857142857135</v>
      </c>
      <c r="W155" s="232">
        <v>107</v>
      </c>
      <c r="X155" s="239">
        <v>390</v>
      </c>
      <c r="Y155" s="236">
        <f t="shared" si="4"/>
        <v>17.712632695382851</v>
      </c>
    </row>
    <row r="156" spans="1:25">
      <c r="A156">
        <v>156</v>
      </c>
      <c r="B156">
        <v>0</v>
      </c>
      <c r="C156" s="252" t="s">
        <v>307</v>
      </c>
      <c r="D156" s="253" t="s">
        <v>306</v>
      </c>
      <c r="E156" s="252" t="s">
        <v>107</v>
      </c>
      <c r="F156" s="252" t="s">
        <v>122</v>
      </c>
      <c r="G156" s="350">
        <v>4</v>
      </c>
      <c r="H156" s="351">
        <v>3</v>
      </c>
      <c r="I156">
        <v>0</v>
      </c>
      <c r="J156">
        <v>0</v>
      </c>
      <c r="K156" s="305">
        <v>8.4630003059570242</v>
      </c>
      <c r="L156" s="305">
        <v>3.0714285714285712</v>
      </c>
      <c r="M156" s="305">
        <v>1.3237410071942446</v>
      </c>
      <c r="N156" s="305">
        <v>5.501760624197753</v>
      </c>
      <c r="O156" s="240">
        <v>147</v>
      </c>
      <c r="P156" s="305">
        <v>7.8286713286713283</v>
      </c>
      <c r="Q156" s="305">
        <v>1</v>
      </c>
      <c r="R156" s="232">
        <v>118</v>
      </c>
      <c r="S156" s="305">
        <v>2.3504377208167071</v>
      </c>
      <c r="T156" s="20">
        <v>3.0329739225540822</v>
      </c>
      <c r="U156" s="305">
        <v>5.4761904761904754</v>
      </c>
      <c r="V156" s="305">
        <v>5.7142857142857135</v>
      </c>
      <c r="W156" s="232">
        <v>155</v>
      </c>
      <c r="X156" s="239">
        <v>420</v>
      </c>
      <c r="Y156" s="236">
        <f t="shared" si="4"/>
        <v>9.7334545856561441</v>
      </c>
    </row>
    <row r="157" spans="1:25">
      <c r="A157">
        <v>157</v>
      </c>
      <c r="B157">
        <v>0</v>
      </c>
      <c r="C157" s="252" t="s">
        <v>444</v>
      </c>
      <c r="D157" s="253" t="s">
        <v>443</v>
      </c>
      <c r="E157" s="252" t="s">
        <v>115</v>
      </c>
      <c r="F157" s="252" t="s">
        <v>124</v>
      </c>
      <c r="G157" s="350">
        <v>3</v>
      </c>
      <c r="H157" s="351">
        <v>3</v>
      </c>
      <c r="I157">
        <v>0</v>
      </c>
      <c r="J157">
        <v>0</v>
      </c>
      <c r="K157" s="20">
        <v>5.9682169142513271</v>
      </c>
      <c r="L157" s="20">
        <v>1.0442857142857143</v>
      </c>
      <c r="M157" s="20">
        <v>1.3578319162851535</v>
      </c>
      <c r="N157" s="20">
        <v>5.1255983656304744</v>
      </c>
      <c r="O157" s="240">
        <v>80</v>
      </c>
      <c r="P157" s="20">
        <v>7.241763791763792</v>
      </c>
      <c r="Q157" s="20">
        <v>1</v>
      </c>
      <c r="R157" s="232">
        <v>35</v>
      </c>
      <c r="S157" s="20">
        <v>3.4803716680991932</v>
      </c>
      <c r="T157" s="20">
        <v>4.0941336311440875</v>
      </c>
      <c r="U157" s="20">
        <v>1.4285714285714284</v>
      </c>
      <c r="V157" s="20">
        <v>1.4285714285714284</v>
      </c>
      <c r="W157" s="232">
        <v>118</v>
      </c>
      <c r="X157" s="239">
        <v>233</v>
      </c>
      <c r="Y157" s="236">
        <f t="shared" si="4"/>
        <v>6.9818952667097021</v>
      </c>
    </row>
    <row r="158" spans="1:25">
      <c r="A158">
        <v>158</v>
      </c>
      <c r="B158">
        <v>0</v>
      </c>
      <c r="C158" s="252" t="s">
        <v>253</v>
      </c>
      <c r="D158" s="253" t="s">
        <v>252</v>
      </c>
      <c r="E158" s="252" t="s">
        <v>111</v>
      </c>
      <c r="F158" s="252" t="s">
        <v>112</v>
      </c>
      <c r="G158" s="350"/>
      <c r="H158" s="351">
        <v>2</v>
      </c>
      <c r="I158">
        <v>0</v>
      </c>
      <c r="J158">
        <v>0</v>
      </c>
      <c r="K158" s="305">
        <v>6.6267099353365895</v>
      </c>
      <c r="L158" s="305">
        <v>5.3395238095238096</v>
      </c>
      <c r="M158" s="305">
        <v>4.1391105297580122</v>
      </c>
      <c r="N158" s="305">
        <v>5.7533146164633679</v>
      </c>
      <c r="O158" s="240">
        <v>111</v>
      </c>
      <c r="P158" s="305">
        <v>7.7434861434861428</v>
      </c>
      <c r="Q158" s="305">
        <v>6.9477351916376318</v>
      </c>
      <c r="R158" s="232">
        <v>150</v>
      </c>
      <c r="S158" s="305">
        <v>1.1771169829267405</v>
      </c>
      <c r="T158" s="20">
        <v>3.3224732437516349</v>
      </c>
      <c r="U158" s="305">
        <v>6.1904761904761898</v>
      </c>
      <c r="V158" s="305">
        <v>6.6666666666666679</v>
      </c>
      <c r="W158" s="232">
        <v>128</v>
      </c>
      <c r="X158" s="239">
        <v>389</v>
      </c>
      <c r="Y158" s="236">
        <f t="shared" si="4"/>
        <v>16.751583185363383</v>
      </c>
    </row>
    <row r="159" spans="1:25">
      <c r="A159">
        <v>159</v>
      </c>
      <c r="B159">
        <v>0</v>
      </c>
      <c r="C159" s="252" t="s">
        <v>269</v>
      </c>
      <c r="D159" s="253" t="s">
        <v>268</v>
      </c>
      <c r="E159" s="252" t="s">
        <v>107</v>
      </c>
      <c r="F159" s="252" t="s">
        <v>121</v>
      </c>
      <c r="G159" s="350"/>
      <c r="H159" s="351">
        <v>4</v>
      </c>
      <c r="I159">
        <v>0</v>
      </c>
      <c r="J159">
        <v>0</v>
      </c>
      <c r="K159" s="305">
        <v>6.1717321692617322</v>
      </c>
      <c r="L159" s="305">
        <v>4.5357142857142856</v>
      </c>
      <c r="M159" s="305">
        <v>2.3700621321124919</v>
      </c>
      <c r="N159" s="305">
        <v>5.4607341665304805</v>
      </c>
      <c r="O159" s="240">
        <v>160</v>
      </c>
      <c r="P159" s="305">
        <v>7.6434861434861432</v>
      </c>
      <c r="Q159" s="305">
        <v>6.1010452961672472</v>
      </c>
      <c r="R159" s="232">
        <v>159</v>
      </c>
      <c r="S159" s="305">
        <v>3.0383349349506616</v>
      </c>
      <c r="T159" s="20">
        <v>3.3679585198120678</v>
      </c>
      <c r="U159" s="305">
        <v>5.7142857142857135</v>
      </c>
      <c r="V159" s="305">
        <v>5.7142857142857135</v>
      </c>
      <c r="W159" s="232">
        <v>161</v>
      </c>
      <c r="X159" s="239">
        <v>480</v>
      </c>
      <c r="Y159" s="236">
        <f t="shared" si="4"/>
        <v>15.194322205405534</v>
      </c>
    </row>
    <row r="160" spans="1:25">
      <c r="A160">
        <v>161</v>
      </c>
      <c r="B160">
        <v>0</v>
      </c>
      <c r="C160" s="2" t="s">
        <v>456</v>
      </c>
      <c r="D160" s="253" t="s">
        <v>156</v>
      </c>
      <c r="E160" s="252" t="s">
        <v>109</v>
      </c>
      <c r="F160" s="252" t="s">
        <v>110</v>
      </c>
      <c r="G160" s="350">
        <v>2</v>
      </c>
      <c r="H160" s="353">
        <v>2</v>
      </c>
      <c r="I160">
        <v>0</v>
      </c>
      <c r="J160">
        <v>0</v>
      </c>
      <c r="K160" s="305">
        <v>7.7534594308073226</v>
      </c>
      <c r="L160" s="305">
        <v>4.8634920634920631</v>
      </c>
      <c r="M160" s="305">
        <v>2.3104153041203404</v>
      </c>
      <c r="N160" s="305">
        <v>6.353776613798213</v>
      </c>
      <c r="O160" s="240">
        <v>44</v>
      </c>
      <c r="P160" s="305">
        <v>7.6583009583009591</v>
      </c>
      <c r="Q160" s="305">
        <v>6.4878048780487809</v>
      </c>
      <c r="R160" s="232">
        <v>60</v>
      </c>
      <c r="S160" s="305">
        <v>1.2094934734805995</v>
      </c>
      <c r="T160" s="20">
        <v>4.6208984039422099</v>
      </c>
      <c r="U160" s="305">
        <v>5.7936507936507935</v>
      </c>
      <c r="V160" s="305">
        <v>6.6666666666666679</v>
      </c>
      <c r="W160" s="232">
        <v>109</v>
      </c>
      <c r="X160" s="239">
        <v>213</v>
      </c>
      <c r="Y160" s="236">
        <f t="shared" si="4"/>
        <v>16.380768065538334</v>
      </c>
    </row>
    <row r="161" spans="1:25">
      <c r="A161">
        <v>162</v>
      </c>
      <c r="B161">
        <v>0</v>
      </c>
      <c r="C161" s="252" t="s">
        <v>259</v>
      </c>
      <c r="D161" s="253" t="s">
        <v>258</v>
      </c>
      <c r="E161" s="252" t="s">
        <v>107</v>
      </c>
      <c r="F161" s="252" t="s">
        <v>126</v>
      </c>
      <c r="G161" s="350">
        <v>3</v>
      </c>
      <c r="H161" s="351">
        <v>3</v>
      </c>
      <c r="I161">
        <v>0</v>
      </c>
      <c r="J161">
        <v>0</v>
      </c>
      <c r="K161" s="20">
        <v>7.780921189584487</v>
      </c>
      <c r="L161" s="20">
        <v>6.5388888888888879</v>
      </c>
      <c r="M161" s="20">
        <v>5.3287115761935908</v>
      </c>
      <c r="N161" s="20">
        <v>6.18956975394092</v>
      </c>
      <c r="O161" s="240">
        <v>107</v>
      </c>
      <c r="P161" s="20">
        <v>7.7971768971768967</v>
      </c>
      <c r="Q161" s="20">
        <v>8.2857142857142883</v>
      </c>
      <c r="R161" s="232">
        <v>101</v>
      </c>
      <c r="S161" s="20">
        <v>3.3688430499531568</v>
      </c>
      <c r="T161" s="20">
        <v>2.8214285714285712</v>
      </c>
      <c r="U161" s="20">
        <v>6.9523809523809526</v>
      </c>
      <c r="V161" s="20">
        <v>9.0476190476190474</v>
      </c>
      <c r="W161" s="232">
        <v>124</v>
      </c>
      <c r="X161" s="239">
        <v>332</v>
      </c>
      <c r="Y161" s="236">
        <f t="shared" si="4"/>
        <v>20.29280504321169</v>
      </c>
    </row>
    <row r="162" spans="1:25">
      <c r="A162">
        <v>163</v>
      </c>
      <c r="B162">
        <v>0</v>
      </c>
      <c r="C162" s="252" t="s">
        <v>414</v>
      </c>
      <c r="D162" s="253" t="s">
        <v>413</v>
      </c>
      <c r="E162" s="252" t="s">
        <v>115</v>
      </c>
      <c r="F162" s="252" t="s">
        <v>116</v>
      </c>
      <c r="G162" s="350">
        <v>3</v>
      </c>
      <c r="H162" s="351">
        <v>2</v>
      </c>
      <c r="I162">
        <v>0</v>
      </c>
      <c r="J162">
        <v>0</v>
      </c>
      <c r="K162" s="305">
        <v>7.8394078106009575</v>
      </c>
      <c r="L162" s="305">
        <v>7.5214285714285714</v>
      </c>
      <c r="M162" s="305">
        <v>4.1715827338129499</v>
      </c>
      <c r="N162" s="305">
        <v>5.9098422575966332</v>
      </c>
      <c r="O162" s="240">
        <v>52</v>
      </c>
      <c r="P162" s="305">
        <v>7.7786195286195294</v>
      </c>
      <c r="Q162" s="305">
        <v>7.7630662020905934</v>
      </c>
      <c r="R162" s="232">
        <v>80</v>
      </c>
      <c r="S162" s="305">
        <v>3.5884644575326696</v>
      </c>
      <c r="T162" s="20">
        <v>4.4060359084661966</v>
      </c>
      <c r="U162" s="305">
        <v>7.9285714285714279</v>
      </c>
      <c r="V162" s="305">
        <v>7.8571428571428568</v>
      </c>
      <c r="W162" s="232">
        <v>115</v>
      </c>
      <c r="X162" s="239">
        <v>247</v>
      </c>
      <c r="Y162" s="236">
        <f t="shared" ref="Y162:Y197" si="5">(((AVERAGE(K162:N162)+AVERAGE(Q162+AVERAGE(S162:V162)))))</f>
        <v>20.06868520837866</v>
      </c>
    </row>
    <row r="163" spans="1:25">
      <c r="A163">
        <v>164</v>
      </c>
      <c r="B163">
        <v>0</v>
      </c>
      <c r="C163" s="252" t="s">
        <v>572</v>
      </c>
      <c r="D163" s="253" t="s">
        <v>571</v>
      </c>
      <c r="E163" s="252" t="s">
        <v>111</v>
      </c>
      <c r="F163" s="252" t="s">
        <v>110</v>
      </c>
      <c r="G163" s="350">
        <v>1</v>
      </c>
      <c r="H163" s="351">
        <v>2</v>
      </c>
      <c r="I163">
        <v>1</v>
      </c>
      <c r="J163">
        <v>0</v>
      </c>
      <c r="K163" s="305">
        <v>5.4173263748104263</v>
      </c>
      <c r="L163" s="305">
        <v>5.5126984126984127</v>
      </c>
      <c r="M163" s="305">
        <v>1.7889470241988228</v>
      </c>
      <c r="N163" s="305">
        <v>5.127819937625663</v>
      </c>
      <c r="O163" s="240">
        <v>10</v>
      </c>
      <c r="P163" s="305">
        <v>8.0526288526288532</v>
      </c>
      <c r="Q163" s="305">
        <v>7.0000000000000009</v>
      </c>
      <c r="R163" s="232">
        <v>11</v>
      </c>
      <c r="S163" s="305">
        <v>1.183027949952195</v>
      </c>
      <c r="T163" s="20">
        <v>6.1558143120243614</v>
      </c>
      <c r="U163" s="305">
        <v>6.5555555555555562</v>
      </c>
      <c r="V163" s="305">
        <v>8.5714285714285712</v>
      </c>
      <c r="W163" s="232">
        <v>20</v>
      </c>
      <c r="X163" s="239">
        <v>41</v>
      </c>
      <c r="Y163" s="236">
        <f t="shared" si="5"/>
        <v>17.078154534573503</v>
      </c>
    </row>
    <row r="164" spans="1:25">
      <c r="A164">
        <v>165</v>
      </c>
      <c r="B164">
        <v>0</v>
      </c>
      <c r="C164" s="252" t="s">
        <v>576</v>
      </c>
      <c r="D164" s="253" t="s">
        <v>575</v>
      </c>
      <c r="E164" s="252" t="s">
        <v>111</v>
      </c>
      <c r="F164" s="252" t="s">
        <v>110</v>
      </c>
      <c r="G164" s="350">
        <v>1</v>
      </c>
      <c r="H164" s="351">
        <v>2</v>
      </c>
      <c r="I164">
        <v>0</v>
      </c>
      <c r="J164">
        <v>0</v>
      </c>
      <c r="K164" s="305">
        <v>7.7205403921236355</v>
      </c>
      <c r="L164" s="305">
        <v>6.4476190476190478</v>
      </c>
      <c r="M164" s="305">
        <v>3.2921353826030084</v>
      </c>
      <c r="N164" s="305">
        <v>5.8110807085655187</v>
      </c>
      <c r="O164" s="240">
        <v>14</v>
      </c>
      <c r="P164" s="305">
        <v>7.4768194768194771</v>
      </c>
      <c r="Q164" s="305">
        <v>6.0069686411149821</v>
      </c>
      <c r="R164" s="232">
        <v>29</v>
      </c>
      <c r="S164" s="305">
        <v>1.783157787771142</v>
      </c>
      <c r="T164" s="20">
        <v>5.2406210189869871</v>
      </c>
      <c r="U164" s="305">
        <v>6.4880952380952381</v>
      </c>
      <c r="V164" s="305">
        <v>7.5</v>
      </c>
      <c r="W164" s="232">
        <v>33</v>
      </c>
      <c r="X164" s="239">
        <v>76</v>
      </c>
      <c r="Y164" s="236">
        <f t="shared" si="5"/>
        <v>17.077781035056127</v>
      </c>
    </row>
    <row r="165" spans="1:25">
      <c r="A165">
        <v>167</v>
      </c>
      <c r="B165">
        <v>0</v>
      </c>
      <c r="C165" s="252" t="s">
        <v>386</v>
      </c>
      <c r="D165" s="253" t="s">
        <v>385</v>
      </c>
      <c r="E165" s="252" t="s">
        <v>107</v>
      </c>
      <c r="F165" s="252" t="s">
        <v>108</v>
      </c>
      <c r="G165" s="350">
        <v>3</v>
      </c>
      <c r="H165" s="351">
        <v>3</v>
      </c>
      <c r="I165">
        <v>0</v>
      </c>
      <c r="J165">
        <v>0</v>
      </c>
      <c r="K165" s="305">
        <v>7.2034646467662284</v>
      </c>
      <c r="L165" s="305">
        <v>4.9511904761904759</v>
      </c>
      <c r="M165" s="305">
        <v>1.8469751471550033</v>
      </c>
      <c r="N165" s="305">
        <v>5.4435095033494951</v>
      </c>
      <c r="O165" s="240">
        <v>121</v>
      </c>
      <c r="P165" s="305">
        <v>8.0933177933177927</v>
      </c>
      <c r="Q165" s="305">
        <v>6.1637630662020904</v>
      </c>
      <c r="R165" s="232">
        <v>44</v>
      </c>
      <c r="S165" s="305">
        <v>3.1798153238866846</v>
      </c>
      <c r="T165" s="20">
        <v>4.5414174385439914</v>
      </c>
      <c r="U165" s="305">
        <v>5.5214285714285714</v>
      </c>
      <c r="V165" s="305">
        <v>6.7857142857142865</v>
      </c>
      <c r="W165" s="232">
        <v>80</v>
      </c>
      <c r="X165" s="239">
        <v>245</v>
      </c>
      <c r="Y165" s="236">
        <f t="shared" si="5"/>
        <v>16.032141914460773</v>
      </c>
    </row>
    <row r="166" spans="1:25">
      <c r="A166">
        <v>168</v>
      </c>
      <c r="B166">
        <v>0</v>
      </c>
      <c r="C166" s="252" t="s">
        <v>446</v>
      </c>
      <c r="D166" s="253" t="s">
        <v>445</v>
      </c>
      <c r="E166" s="252" t="s">
        <v>107</v>
      </c>
      <c r="F166" s="252" t="s">
        <v>133</v>
      </c>
      <c r="G166" s="350">
        <v>2</v>
      </c>
      <c r="H166" s="351">
        <v>2</v>
      </c>
      <c r="I166">
        <v>0</v>
      </c>
      <c r="J166">
        <v>0</v>
      </c>
      <c r="K166" s="305">
        <v>7.0214288666110845</v>
      </c>
      <c r="L166" s="305">
        <v>3.1766666666666667</v>
      </c>
      <c r="M166" s="305">
        <v>1.1635873119686069</v>
      </c>
      <c r="N166" s="305">
        <v>4.7618780914489411</v>
      </c>
      <c r="O166" s="240">
        <v>27</v>
      </c>
      <c r="P166" s="305">
        <v>7.549132349132349</v>
      </c>
      <c r="Q166" s="305">
        <v>5.9651567944250878</v>
      </c>
      <c r="R166" s="232">
        <v>115</v>
      </c>
      <c r="S166" s="305">
        <v>2.4470252351821888</v>
      </c>
      <c r="T166" s="20">
        <v>3.9301050702030067</v>
      </c>
      <c r="U166" s="305">
        <v>4.6349206349206353</v>
      </c>
      <c r="V166" s="305">
        <v>4.2857142857142856</v>
      </c>
      <c r="W166" s="232">
        <v>94</v>
      </c>
      <c r="X166" s="239">
        <v>236</v>
      </c>
      <c r="Y166" s="236">
        <f t="shared" si="5"/>
        <v>13.820488335103942</v>
      </c>
    </row>
    <row r="167" spans="1:25">
      <c r="A167">
        <v>169</v>
      </c>
      <c r="B167">
        <v>0</v>
      </c>
      <c r="C167" s="252" t="s">
        <v>460</v>
      </c>
      <c r="D167" s="253" t="s">
        <v>157</v>
      </c>
      <c r="E167" s="252" t="s">
        <v>113</v>
      </c>
      <c r="F167" s="252" t="s">
        <v>140</v>
      </c>
      <c r="G167" s="350">
        <v>3</v>
      </c>
      <c r="H167" s="351">
        <v>3</v>
      </c>
      <c r="I167">
        <v>0</v>
      </c>
      <c r="J167">
        <v>0</v>
      </c>
      <c r="K167" s="20">
        <v>6.1937225311355739</v>
      </c>
      <c r="L167" s="20">
        <v>4.4589285714285714</v>
      </c>
      <c r="M167" s="20">
        <v>1.3275032701111837</v>
      </c>
      <c r="N167" s="20">
        <v>4.7383642532980854</v>
      </c>
      <c r="O167" s="240">
        <v>89</v>
      </c>
      <c r="P167" s="20">
        <v>6.2959207459207454</v>
      </c>
      <c r="Q167" s="20">
        <v>5.9233449477351927</v>
      </c>
      <c r="R167" s="232">
        <v>76</v>
      </c>
      <c r="S167" s="20">
        <v>2.0955004798276646</v>
      </c>
      <c r="T167" s="20">
        <v>5.4490954312829203</v>
      </c>
      <c r="U167" s="20">
        <v>5.7142857142857135</v>
      </c>
      <c r="V167" s="20">
        <v>5.7142857142857135</v>
      </c>
      <c r="W167" s="232">
        <v>77</v>
      </c>
      <c r="X167" s="239">
        <v>242</v>
      </c>
      <c r="Y167" s="236">
        <f t="shared" si="5"/>
        <v>14.846266439149051</v>
      </c>
    </row>
    <row r="168" spans="1:25">
      <c r="A168">
        <v>170</v>
      </c>
      <c r="B168">
        <v>0</v>
      </c>
      <c r="C168" s="252" t="s">
        <v>296</v>
      </c>
      <c r="D168" s="253" t="s">
        <v>295</v>
      </c>
      <c r="E168" s="252" t="s">
        <v>107</v>
      </c>
      <c r="F168" s="252" t="s">
        <v>126</v>
      </c>
      <c r="G168" s="350">
        <v>4</v>
      </c>
      <c r="H168" s="351">
        <v>3</v>
      </c>
      <c r="I168">
        <v>0</v>
      </c>
      <c r="J168">
        <v>0</v>
      </c>
      <c r="K168" s="305">
        <v>8.0135576386007052</v>
      </c>
      <c r="L168" s="305">
        <v>5.0719780219780217</v>
      </c>
      <c r="M168" s="305">
        <v>1.9235938521909746</v>
      </c>
      <c r="N168" s="305">
        <v>5.3384611451690835</v>
      </c>
      <c r="O168" s="240">
        <v>139</v>
      </c>
      <c r="P168" s="305">
        <v>6.6509453509453511</v>
      </c>
      <c r="Q168" s="305">
        <v>7.7003484320557494</v>
      </c>
      <c r="R168" s="232">
        <v>114</v>
      </c>
      <c r="S168" s="305">
        <v>3.5005044974612045</v>
      </c>
      <c r="T168" s="20">
        <v>3.6384743531088422</v>
      </c>
      <c r="U168" s="305">
        <v>7.9120879120879124</v>
      </c>
      <c r="V168" s="305">
        <v>8.3516483516483504</v>
      </c>
      <c r="W168" s="232">
        <v>147</v>
      </c>
      <c r="X168" s="239">
        <v>400</v>
      </c>
      <c r="Y168" s="236">
        <f t="shared" si="5"/>
        <v>18.637924875117022</v>
      </c>
    </row>
    <row r="169" spans="1:25">
      <c r="A169">
        <v>171</v>
      </c>
      <c r="B169">
        <v>0</v>
      </c>
      <c r="C169" s="252" t="s">
        <v>265</v>
      </c>
      <c r="D169" s="253" t="s">
        <v>264</v>
      </c>
      <c r="E169" s="252" t="s">
        <v>107</v>
      </c>
      <c r="F169" s="252" t="s">
        <v>122</v>
      </c>
      <c r="G169" s="350">
        <v>4</v>
      </c>
      <c r="H169" s="351">
        <v>3</v>
      </c>
      <c r="I169">
        <v>0</v>
      </c>
      <c r="J169">
        <v>0</v>
      </c>
      <c r="K169" s="305">
        <v>7.1365210535976065</v>
      </c>
      <c r="L169" s="305">
        <v>4.3338888888888887</v>
      </c>
      <c r="M169" s="305">
        <v>4.3452746893394378</v>
      </c>
      <c r="N169" s="305">
        <v>5.0631369484628834</v>
      </c>
      <c r="O169" s="240">
        <v>135</v>
      </c>
      <c r="P169" s="305">
        <v>7.7527454027454024</v>
      </c>
      <c r="Q169" s="305">
        <v>6.5400696864111501</v>
      </c>
      <c r="R169" s="232">
        <v>140</v>
      </c>
      <c r="S169" s="305">
        <v>3.1696035726291876</v>
      </c>
      <c r="T169" s="20">
        <v>4.2565305260387305</v>
      </c>
      <c r="U169" s="305">
        <v>4.4285714285714279</v>
      </c>
      <c r="V169" s="305">
        <v>7.1428571428571432</v>
      </c>
      <c r="W169" s="232">
        <v>119</v>
      </c>
      <c r="X169" s="239">
        <v>394</v>
      </c>
      <c r="Y169" s="236">
        <f t="shared" si="5"/>
        <v>16.509165749007476</v>
      </c>
    </row>
    <row r="170" spans="1:25">
      <c r="A170">
        <v>172</v>
      </c>
      <c r="B170">
        <v>0</v>
      </c>
      <c r="C170" s="252" t="s">
        <v>644</v>
      </c>
      <c r="D170" s="253" t="s">
        <v>643</v>
      </c>
      <c r="E170" s="252" t="s">
        <v>119</v>
      </c>
      <c r="F170" s="252" t="s">
        <v>125</v>
      </c>
      <c r="G170" s="350">
        <v>3</v>
      </c>
      <c r="H170" s="351">
        <v>3</v>
      </c>
      <c r="I170">
        <v>0</v>
      </c>
      <c r="J170">
        <v>0</v>
      </c>
      <c r="K170" s="305">
        <v>4.5755521039854026</v>
      </c>
      <c r="L170" s="305">
        <v>4.7047619047619049</v>
      </c>
      <c r="M170" s="305">
        <v>3.9909744931327662</v>
      </c>
      <c r="N170" s="305">
        <v>5.7450190103335546</v>
      </c>
      <c r="O170" s="240">
        <v>68</v>
      </c>
      <c r="P170" s="305">
        <v>7.7453379953379962</v>
      </c>
      <c r="Q170" s="305">
        <v>5.4425087108013939</v>
      </c>
      <c r="R170" s="232">
        <v>71</v>
      </c>
      <c r="S170" s="305">
        <v>1.0468410786142381</v>
      </c>
      <c r="T170" s="20">
        <v>5.8993337436086177</v>
      </c>
      <c r="U170" s="305">
        <v>5.7142857142857144</v>
      </c>
      <c r="V170" s="305">
        <v>6.6666666666666679</v>
      </c>
      <c r="W170" s="232">
        <v>19</v>
      </c>
      <c r="X170" s="239">
        <v>158</v>
      </c>
      <c r="Y170" s="236">
        <f t="shared" si="5"/>
        <v>15.028367389648611</v>
      </c>
    </row>
    <row r="171" spans="1:25">
      <c r="A171">
        <v>173</v>
      </c>
      <c r="B171">
        <v>0</v>
      </c>
      <c r="C171" s="252" t="s">
        <v>426</v>
      </c>
      <c r="D171" s="253" t="s">
        <v>425</v>
      </c>
      <c r="E171" s="252" t="s">
        <v>109</v>
      </c>
      <c r="F171" s="252" t="s">
        <v>141</v>
      </c>
      <c r="G171" s="350">
        <v>3</v>
      </c>
      <c r="H171" s="351">
        <v>3</v>
      </c>
      <c r="I171">
        <v>0</v>
      </c>
      <c r="J171">
        <v>0</v>
      </c>
      <c r="K171" s="305">
        <v>6.7668590970762965</v>
      </c>
      <c r="L171" s="305">
        <v>3.3928571428571428</v>
      </c>
      <c r="M171" s="305">
        <v>1.3919228253760627</v>
      </c>
      <c r="N171" s="305">
        <v>4.8738887473473946</v>
      </c>
      <c r="O171" s="240">
        <v>59</v>
      </c>
      <c r="P171" s="305">
        <v>7.3862470862470868</v>
      </c>
      <c r="Q171" s="305">
        <v>5.7874564459930316</v>
      </c>
      <c r="R171" s="232">
        <v>74</v>
      </c>
      <c r="S171" s="305">
        <v>1.0394279375035955</v>
      </c>
      <c r="T171" s="20">
        <v>4.3203607097185621</v>
      </c>
      <c r="U171" s="305">
        <v>4.9999999999999991</v>
      </c>
      <c r="V171" s="305">
        <v>5.7142857142857135</v>
      </c>
      <c r="W171" s="232">
        <v>103</v>
      </c>
      <c r="X171" s="239">
        <v>236</v>
      </c>
      <c r="Y171" s="236">
        <f t="shared" si="5"/>
        <v>13.912356989534223</v>
      </c>
    </row>
    <row r="172" spans="1:25">
      <c r="A172">
        <v>174</v>
      </c>
      <c r="B172">
        <v>0</v>
      </c>
      <c r="C172" s="252" t="s">
        <v>478</v>
      </c>
      <c r="D172" s="253" t="s">
        <v>477</v>
      </c>
      <c r="E172" s="252" t="s">
        <v>109</v>
      </c>
      <c r="F172" s="252" t="s">
        <v>141</v>
      </c>
      <c r="G172" s="350">
        <v>3</v>
      </c>
      <c r="H172" s="351">
        <v>3</v>
      </c>
      <c r="I172">
        <v>0</v>
      </c>
      <c r="J172">
        <v>0</v>
      </c>
      <c r="K172" s="20">
        <v>7.1966289603340972</v>
      </c>
      <c r="L172" s="20">
        <v>2</v>
      </c>
      <c r="M172" s="20">
        <v>1.9747056899934599</v>
      </c>
      <c r="N172" s="20">
        <v>3.5033993934455401</v>
      </c>
      <c r="O172" s="240">
        <v>98</v>
      </c>
      <c r="P172" s="20">
        <v>7.7175602175602176</v>
      </c>
      <c r="Q172" s="20">
        <v>6.5818815331010452</v>
      </c>
      <c r="R172" s="232">
        <v>121</v>
      </c>
      <c r="S172" s="20">
        <v>1.5498592480672417</v>
      </c>
      <c r="T172" s="20">
        <v>4.7852943404976065</v>
      </c>
      <c r="U172" s="20">
        <v>1</v>
      </c>
      <c r="V172" s="20">
        <v>1</v>
      </c>
      <c r="W172" s="232">
        <v>114</v>
      </c>
      <c r="X172" s="239">
        <v>333</v>
      </c>
      <c r="Y172" s="236">
        <f t="shared" si="5"/>
        <v>12.334353441185531</v>
      </c>
    </row>
    <row r="173" spans="1:25">
      <c r="A173">
        <v>175</v>
      </c>
      <c r="B173">
        <v>0</v>
      </c>
      <c r="C173" s="252" t="s">
        <v>301</v>
      </c>
      <c r="D173" s="253" t="s">
        <v>291</v>
      </c>
      <c r="E173" s="252" t="s">
        <v>119</v>
      </c>
      <c r="F173" s="252" t="s">
        <v>125</v>
      </c>
      <c r="G173" s="350">
        <v>3</v>
      </c>
      <c r="H173" s="351">
        <v>3</v>
      </c>
      <c r="I173">
        <v>0</v>
      </c>
      <c r="J173">
        <v>0</v>
      </c>
      <c r="K173" s="305">
        <v>7.0844478233004438</v>
      </c>
      <c r="L173" s="305">
        <v>5.3119047619047617</v>
      </c>
      <c r="M173" s="305">
        <v>2.6786461739699154</v>
      </c>
      <c r="N173" s="305">
        <v>4.438617243007954</v>
      </c>
      <c r="O173" s="240">
        <v>136</v>
      </c>
      <c r="P173" s="305">
        <v>7.6749935249935248</v>
      </c>
      <c r="Q173" s="305">
        <v>7.8675958188153325</v>
      </c>
      <c r="R173" s="232">
        <v>123</v>
      </c>
      <c r="S173" s="305">
        <v>3.4540370468456998</v>
      </c>
      <c r="T173" s="20">
        <v>3.914101699024942</v>
      </c>
      <c r="U173" s="305">
        <v>5.5476190476190474</v>
      </c>
      <c r="V173" s="305">
        <v>6.4285714285714288</v>
      </c>
      <c r="W173" s="232">
        <v>143</v>
      </c>
      <c r="X173" s="239">
        <v>402</v>
      </c>
      <c r="Y173" s="236">
        <f t="shared" si="5"/>
        <v>17.582082124876379</v>
      </c>
    </row>
    <row r="174" spans="1:25">
      <c r="A174">
        <v>176</v>
      </c>
      <c r="B174">
        <v>0</v>
      </c>
      <c r="C174" s="252" t="s">
        <v>290</v>
      </c>
      <c r="D174" s="253" t="s">
        <v>289</v>
      </c>
      <c r="E174" s="252" t="s">
        <v>119</v>
      </c>
      <c r="F174" s="252" t="s">
        <v>136</v>
      </c>
      <c r="G174" s="350">
        <v>2</v>
      </c>
      <c r="H174" s="351">
        <v>2</v>
      </c>
      <c r="I174">
        <v>0</v>
      </c>
      <c r="J174">
        <v>0</v>
      </c>
      <c r="K174" s="305">
        <v>6.5953133236385622</v>
      </c>
      <c r="L174" s="305">
        <v>6.0825396825396822</v>
      </c>
      <c r="M174" s="305">
        <v>2.5611183780248528</v>
      </c>
      <c r="N174" s="305">
        <v>5.9246416488469205</v>
      </c>
      <c r="O174" s="240">
        <v>155</v>
      </c>
      <c r="P174" s="305">
        <v>8.2876845376845374</v>
      </c>
      <c r="Q174" s="305">
        <v>7.1567944250871083</v>
      </c>
      <c r="R174" s="232">
        <v>73</v>
      </c>
      <c r="S174" s="305">
        <v>3.4613674574611726</v>
      </c>
      <c r="T174" s="20">
        <v>1.1078958391497724</v>
      </c>
      <c r="U174" s="305">
        <v>6.1904761904761898</v>
      </c>
      <c r="V174" s="305">
        <v>5.7142857142857135</v>
      </c>
      <c r="W174" s="232">
        <v>163</v>
      </c>
      <c r="X174" s="239">
        <v>391</v>
      </c>
      <c r="Y174" s="236">
        <f t="shared" si="5"/>
        <v>16.566203983692823</v>
      </c>
    </row>
    <row r="175" spans="1:25">
      <c r="A175">
        <v>177</v>
      </c>
      <c r="B175">
        <v>0</v>
      </c>
      <c r="C175" s="252" t="s">
        <v>402</v>
      </c>
      <c r="D175" s="253" t="s">
        <v>401</v>
      </c>
      <c r="E175" s="252" t="s">
        <v>115</v>
      </c>
      <c r="F175" s="252" t="s">
        <v>118</v>
      </c>
      <c r="G175" s="350">
        <v>2</v>
      </c>
      <c r="H175" s="351">
        <v>2</v>
      </c>
      <c r="I175">
        <v>0</v>
      </c>
      <c r="J175">
        <v>0</v>
      </c>
      <c r="K175" s="305">
        <v>7.0884818642276759</v>
      </c>
      <c r="L175" s="305">
        <v>5.3942857142857141</v>
      </c>
      <c r="M175" s="305">
        <v>2.8951111837802488</v>
      </c>
      <c r="N175" s="305">
        <v>6.4749279307858014</v>
      </c>
      <c r="O175" s="240">
        <v>87</v>
      </c>
      <c r="P175" s="305">
        <v>7.6045713545713545</v>
      </c>
      <c r="Q175" s="305">
        <v>7.6689895470383274</v>
      </c>
      <c r="R175" s="232">
        <v>28</v>
      </c>
      <c r="S175" s="305">
        <v>3.3058786000750664</v>
      </c>
      <c r="T175" s="20">
        <v>4.1416450034514236</v>
      </c>
      <c r="U175" s="305">
        <v>8.3238095238095244</v>
      </c>
      <c r="V175" s="305">
        <v>9.5238095238095237</v>
      </c>
      <c r="W175" s="232">
        <v>95</v>
      </c>
      <c r="X175" s="239">
        <v>210</v>
      </c>
      <c r="Y175" s="236">
        <f t="shared" si="5"/>
        <v>19.455976883094571</v>
      </c>
    </row>
    <row r="176" spans="1:25">
      <c r="A176">
        <v>178</v>
      </c>
      <c r="B176">
        <v>0</v>
      </c>
      <c r="C176" s="252" t="s">
        <v>658</v>
      </c>
      <c r="D176" s="253" t="s">
        <v>657</v>
      </c>
      <c r="E176" s="252" t="s">
        <v>113</v>
      </c>
      <c r="F176" s="252" t="s">
        <v>134</v>
      </c>
      <c r="G176" s="350">
        <v>2</v>
      </c>
      <c r="H176" s="351">
        <v>3</v>
      </c>
      <c r="I176">
        <v>0</v>
      </c>
      <c r="J176">
        <v>0</v>
      </c>
      <c r="K176" s="20">
        <v>6.9974948665191192</v>
      </c>
      <c r="L176" s="20">
        <v>4.8833333333333337</v>
      </c>
      <c r="M176" s="20">
        <v>1.3254578155657293</v>
      </c>
      <c r="N176" s="20">
        <v>5.1669694026261128</v>
      </c>
      <c r="O176" s="240">
        <v>53</v>
      </c>
      <c r="P176" s="20">
        <v>5.6158508158508162</v>
      </c>
      <c r="Q176" s="20">
        <v>7.0940766550522643</v>
      </c>
      <c r="R176" s="232">
        <v>33</v>
      </c>
      <c r="S176" s="20">
        <v>1.9653415336896725</v>
      </c>
      <c r="T176" s="20">
        <v>5.4455417351573399</v>
      </c>
      <c r="U176" s="20">
        <v>7.7525541125541118</v>
      </c>
      <c r="V176" s="20">
        <v>9.4805194805194812</v>
      </c>
      <c r="W176" s="232">
        <v>82</v>
      </c>
      <c r="X176" s="239">
        <v>168</v>
      </c>
      <c r="Y176" s="236">
        <f t="shared" si="5"/>
        <v>17.84837972504349</v>
      </c>
    </row>
    <row r="177" spans="1:110">
      <c r="A177">
        <v>179</v>
      </c>
      <c r="B177">
        <v>0</v>
      </c>
      <c r="C177" s="252" t="s">
        <v>602</v>
      </c>
      <c r="D177" s="253" t="s">
        <v>601</v>
      </c>
      <c r="E177" s="252" t="s">
        <v>109</v>
      </c>
      <c r="F177" s="252" t="s">
        <v>110</v>
      </c>
      <c r="G177" s="350">
        <v>2</v>
      </c>
      <c r="H177" s="351">
        <v>2</v>
      </c>
      <c r="I177">
        <v>0</v>
      </c>
      <c r="J177">
        <v>0</v>
      </c>
      <c r="K177" s="20">
        <v>7.2059747182410208</v>
      </c>
      <c r="L177" s="20">
        <v>4.2855180533751973</v>
      </c>
      <c r="M177" s="20">
        <v>1.2113145846958795</v>
      </c>
      <c r="N177" s="20">
        <v>4.5496293889189676</v>
      </c>
      <c r="O177" s="240">
        <v>45</v>
      </c>
      <c r="P177" s="20">
        <v>6.7696969696969695</v>
      </c>
      <c r="Q177" s="20">
        <v>7.5017421602787469</v>
      </c>
      <c r="R177" s="232">
        <v>39</v>
      </c>
      <c r="S177" s="20">
        <v>2.452637716567736</v>
      </c>
      <c r="T177" s="20">
        <v>5.537441686303687</v>
      </c>
      <c r="U177" s="20">
        <v>7.3275771847200417</v>
      </c>
      <c r="V177" s="20">
        <v>8.9795918367346932</v>
      </c>
      <c r="W177" s="232">
        <v>11</v>
      </c>
      <c r="X177" s="239">
        <v>95</v>
      </c>
      <c r="Y177" s="236">
        <f t="shared" si="5"/>
        <v>17.889163452668051</v>
      </c>
    </row>
    <row r="178" spans="1:110">
      <c r="A178">
        <v>181</v>
      </c>
      <c r="B178">
        <v>0</v>
      </c>
      <c r="C178" s="252" t="s">
        <v>418</v>
      </c>
      <c r="D178" s="253" t="s">
        <v>417</v>
      </c>
      <c r="E178" s="252" t="s">
        <v>107</v>
      </c>
      <c r="F178" s="252" t="s">
        <v>108</v>
      </c>
      <c r="G178" s="350">
        <v>4</v>
      </c>
      <c r="H178" s="351">
        <v>3</v>
      </c>
      <c r="I178">
        <v>0</v>
      </c>
      <c r="J178">
        <v>0</v>
      </c>
      <c r="K178" s="305">
        <v>7.2122354707504197</v>
      </c>
      <c r="L178" s="305">
        <v>6.943386243386243</v>
      </c>
      <c r="M178" s="305">
        <v>4.4274852844996726</v>
      </c>
      <c r="N178" s="305">
        <v>6.9344660384431283</v>
      </c>
      <c r="O178" s="240">
        <v>110</v>
      </c>
      <c r="P178" s="305">
        <v>8.0896140896140896</v>
      </c>
      <c r="Q178" s="305">
        <v>8.2961672473867587</v>
      </c>
      <c r="R178" s="232">
        <v>130</v>
      </c>
      <c r="S178" s="305">
        <v>2.942547311503763</v>
      </c>
      <c r="T178" s="20">
        <v>5.9695416350775723</v>
      </c>
      <c r="U178" s="305">
        <v>5.9642857142857144</v>
      </c>
      <c r="V178" s="305">
        <v>7.8571428571428568</v>
      </c>
      <c r="W178" s="232">
        <v>28</v>
      </c>
      <c r="X178" s="239">
        <v>268</v>
      </c>
      <c r="Y178" s="236">
        <f t="shared" si="5"/>
        <v>20.358939886159099</v>
      </c>
    </row>
    <row r="179" spans="1:110">
      <c r="A179">
        <v>182</v>
      </c>
      <c r="B179">
        <v>0</v>
      </c>
      <c r="C179" s="252" t="s">
        <v>476</v>
      </c>
      <c r="D179" s="253" t="s">
        <v>475</v>
      </c>
      <c r="E179" s="252" t="s">
        <v>107</v>
      </c>
      <c r="F179" s="252" t="s">
        <v>121</v>
      </c>
      <c r="G179" s="350">
        <v>4</v>
      </c>
      <c r="H179" s="351">
        <v>3</v>
      </c>
      <c r="I179">
        <v>0</v>
      </c>
      <c r="J179">
        <v>0</v>
      </c>
      <c r="K179" s="20">
        <v>6.685599611877727</v>
      </c>
      <c r="L179" s="20">
        <v>4.2735714285714286</v>
      </c>
      <c r="M179" s="20">
        <v>4.3403204708960104</v>
      </c>
      <c r="N179" s="20">
        <v>5.1835458496882758</v>
      </c>
      <c r="O179" s="240">
        <v>126</v>
      </c>
      <c r="P179" s="20">
        <v>7.8934213934213933</v>
      </c>
      <c r="Q179" s="20">
        <v>5.9651567944250878</v>
      </c>
      <c r="R179" s="232">
        <v>75</v>
      </c>
      <c r="S179" s="20">
        <v>3.085793296456298</v>
      </c>
      <c r="T179" s="20">
        <v>4.657839462854021</v>
      </c>
      <c r="U179" s="20">
        <v>6.1785714285714279</v>
      </c>
      <c r="V179" s="20">
        <v>6.4285714285714288</v>
      </c>
      <c r="W179" s="232">
        <v>47</v>
      </c>
      <c r="X179" s="239">
        <v>248</v>
      </c>
      <c r="Y179" s="236">
        <f t="shared" si="5"/>
        <v>16.173610038796742</v>
      </c>
    </row>
    <row r="180" spans="1:110" s="263" customFormat="1">
      <c r="A180">
        <v>183</v>
      </c>
      <c r="B180">
        <v>0</v>
      </c>
      <c r="C180" s="252" t="s">
        <v>640</v>
      </c>
      <c r="D180" s="253" t="s">
        <v>639</v>
      </c>
      <c r="E180" s="252" t="s">
        <v>109</v>
      </c>
      <c r="F180" s="252" t="s">
        <v>117</v>
      </c>
      <c r="G180" s="350">
        <v>2</v>
      </c>
      <c r="H180" s="351">
        <v>3</v>
      </c>
      <c r="I180">
        <v>0</v>
      </c>
      <c r="J180">
        <v>0</v>
      </c>
      <c r="K180" s="305">
        <v>6.0481108867278675</v>
      </c>
      <c r="L180" s="305">
        <v>6.7321428571428577</v>
      </c>
      <c r="M180" s="305">
        <v>2.4825866579463702</v>
      </c>
      <c r="N180" s="305">
        <v>5.0831026120231364</v>
      </c>
      <c r="O180" s="240">
        <v>7</v>
      </c>
      <c r="P180" s="305">
        <v>7.9989380989380994</v>
      </c>
      <c r="Q180" s="305">
        <v>7.9930313588850179</v>
      </c>
      <c r="R180" s="232">
        <v>111</v>
      </c>
      <c r="S180" s="305">
        <v>1.060403773832844</v>
      </c>
      <c r="T180" s="20">
        <v>5.9910480096981598</v>
      </c>
      <c r="U180" s="305">
        <v>5.1785714285714288</v>
      </c>
      <c r="V180" s="305">
        <v>6.0714285714285712</v>
      </c>
      <c r="W180" s="232">
        <v>15</v>
      </c>
      <c r="X180" s="239">
        <v>133</v>
      </c>
      <c r="Y180" s="236">
        <f t="shared" si="5"/>
        <v>17.654880058227825</v>
      </c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</row>
    <row r="181" spans="1:110">
      <c r="A181">
        <v>184</v>
      </c>
      <c r="B181">
        <v>0</v>
      </c>
      <c r="C181" s="252" t="s">
        <v>596</v>
      </c>
      <c r="D181" s="253" t="s">
        <v>595</v>
      </c>
      <c r="E181" s="252" t="s">
        <v>115</v>
      </c>
      <c r="F181" s="252" t="s">
        <v>116</v>
      </c>
      <c r="G181" s="350">
        <v>2</v>
      </c>
      <c r="H181" s="351">
        <v>2</v>
      </c>
      <c r="I181">
        <v>0</v>
      </c>
      <c r="J181">
        <v>0</v>
      </c>
      <c r="K181" s="20">
        <v>7.4229016478576586</v>
      </c>
      <c r="L181" s="20">
        <v>2.8666666666666663</v>
      </c>
      <c r="M181" s="20">
        <v>2.7435905820797908</v>
      </c>
      <c r="N181" s="20">
        <v>7.0901687709188188</v>
      </c>
      <c r="O181" s="240">
        <v>12</v>
      </c>
      <c r="P181" s="20">
        <v>7.0102305102305102</v>
      </c>
      <c r="Q181" s="20">
        <v>4.8780487804878057</v>
      </c>
      <c r="R181" s="232">
        <v>7</v>
      </c>
      <c r="S181" s="20">
        <v>3.5397055809664746</v>
      </c>
      <c r="T181" s="20">
        <v>4.025803461239672</v>
      </c>
      <c r="U181" s="20">
        <v>5.1190476190476195</v>
      </c>
      <c r="V181" s="20">
        <v>7.1428571428571432</v>
      </c>
      <c r="W181" s="232">
        <v>83</v>
      </c>
      <c r="X181" s="239">
        <v>102</v>
      </c>
      <c r="Y181" s="236">
        <f t="shared" si="5"/>
        <v>14.865734148396264</v>
      </c>
    </row>
    <row r="182" spans="1:110">
      <c r="A182">
        <v>186</v>
      </c>
      <c r="B182">
        <v>0</v>
      </c>
      <c r="C182" s="252" t="s">
        <v>420</v>
      </c>
      <c r="D182" s="253" t="s">
        <v>419</v>
      </c>
      <c r="E182" s="252" t="s">
        <v>109</v>
      </c>
      <c r="F182" s="252" t="s">
        <v>141</v>
      </c>
      <c r="G182" s="350">
        <v>3</v>
      </c>
      <c r="H182" s="351">
        <v>3</v>
      </c>
      <c r="I182">
        <v>0</v>
      </c>
      <c r="J182">
        <v>0</v>
      </c>
      <c r="K182" s="20">
        <v>7.7929929126896891</v>
      </c>
      <c r="L182" s="20">
        <v>5.6277777777777782</v>
      </c>
      <c r="M182" s="20">
        <v>2.2882930019620664</v>
      </c>
      <c r="N182" s="20">
        <v>5.0518281207099864</v>
      </c>
      <c r="O182" s="240">
        <v>66</v>
      </c>
      <c r="P182" s="20">
        <v>7.4284123284123282</v>
      </c>
      <c r="Q182" s="20">
        <v>6.2055749128919864</v>
      </c>
      <c r="R182" s="232">
        <v>93</v>
      </c>
      <c r="S182" s="20">
        <v>3.860100100424622</v>
      </c>
      <c r="T182" s="20">
        <v>5.0765807378406631</v>
      </c>
      <c r="U182" s="20">
        <v>7.5476190476190474</v>
      </c>
      <c r="V182" s="20">
        <v>9.2857142857142865</v>
      </c>
      <c r="W182" s="232">
        <v>84</v>
      </c>
      <c r="X182" s="239">
        <v>243</v>
      </c>
      <c r="Y182" s="236">
        <f t="shared" si="5"/>
        <v>17.838301409076522</v>
      </c>
    </row>
    <row r="183" spans="1:110">
      <c r="A183">
        <v>188</v>
      </c>
      <c r="B183">
        <v>0</v>
      </c>
      <c r="C183" s="252" t="s">
        <v>356</v>
      </c>
      <c r="D183" s="253" t="s">
        <v>163</v>
      </c>
      <c r="E183" s="252" t="s">
        <v>115</v>
      </c>
      <c r="F183" s="252" t="s">
        <v>118</v>
      </c>
      <c r="G183" s="350">
        <v>3</v>
      </c>
      <c r="H183" s="351">
        <v>3</v>
      </c>
      <c r="I183">
        <v>0</v>
      </c>
      <c r="J183">
        <v>0</v>
      </c>
      <c r="K183" s="305">
        <v>5.0764356150688359</v>
      </c>
      <c r="L183" s="305">
        <v>1.7380952380952381</v>
      </c>
      <c r="M183" s="305">
        <v>1.3237410071942446</v>
      </c>
      <c r="N183" s="305">
        <v>4.8937444028680943</v>
      </c>
      <c r="O183" s="240">
        <v>69</v>
      </c>
      <c r="P183" s="305">
        <v>7.7953379953379951</v>
      </c>
      <c r="Q183" s="305">
        <v>1</v>
      </c>
      <c r="R183" s="232">
        <v>12</v>
      </c>
      <c r="S183" s="305">
        <v>2.8815535148314715</v>
      </c>
      <c r="T183" s="20">
        <v>3.766784929343832</v>
      </c>
      <c r="U183" s="305">
        <v>3.2619047619047614</v>
      </c>
      <c r="V183" s="305">
        <v>5.7142857142857135</v>
      </c>
      <c r="W183" s="232">
        <v>139</v>
      </c>
      <c r="X183" s="239">
        <v>220</v>
      </c>
      <c r="Y183" s="236">
        <f t="shared" si="5"/>
        <v>8.1641362958980466</v>
      </c>
      <c r="AS183" s="263"/>
      <c r="AT183" s="263"/>
      <c r="AU183" s="263"/>
      <c r="AV183" s="263"/>
      <c r="AW183" s="263"/>
      <c r="AX183" s="263"/>
      <c r="AY183" s="263"/>
      <c r="AZ183" s="263"/>
      <c r="BA183" s="263"/>
      <c r="BB183" s="263"/>
      <c r="BC183" s="263"/>
      <c r="BD183" s="263"/>
      <c r="BE183" s="263"/>
      <c r="BF183" s="263"/>
      <c r="BG183" s="263"/>
      <c r="BH183" s="263"/>
      <c r="BI183" s="263"/>
      <c r="BJ183" s="263"/>
      <c r="BK183" s="263"/>
      <c r="BL183" s="263"/>
      <c r="BM183" s="263"/>
      <c r="BN183" s="263"/>
      <c r="BO183" s="263"/>
      <c r="BP183" s="263"/>
      <c r="BQ183" s="263"/>
      <c r="BR183" s="263"/>
      <c r="BS183" s="263"/>
      <c r="BT183" s="263"/>
      <c r="BU183" s="263"/>
      <c r="BV183" s="263"/>
      <c r="BW183" s="263"/>
      <c r="BX183" s="263"/>
      <c r="BY183" s="263"/>
      <c r="BZ183" s="263"/>
      <c r="CA183" s="263"/>
      <c r="CB183" s="263"/>
      <c r="CC183" s="263"/>
      <c r="CD183" s="263"/>
      <c r="CE183" s="263"/>
      <c r="CF183" s="263"/>
      <c r="CG183" s="263"/>
      <c r="CH183" s="263"/>
      <c r="CI183" s="263"/>
      <c r="CJ183" s="263"/>
      <c r="CK183" s="263"/>
      <c r="CL183" s="263"/>
      <c r="CM183" s="263"/>
      <c r="CN183" s="263"/>
      <c r="CO183" s="263"/>
      <c r="CP183" s="263"/>
      <c r="CQ183" s="263"/>
      <c r="CR183" s="263"/>
      <c r="CS183" s="263"/>
      <c r="CT183" s="263"/>
      <c r="CU183" s="263"/>
      <c r="CV183" s="263"/>
      <c r="CW183" s="263"/>
      <c r="CX183" s="263"/>
      <c r="CY183" s="263"/>
      <c r="CZ183" s="263"/>
      <c r="DA183" s="263"/>
      <c r="DB183" s="263"/>
      <c r="DC183" s="263"/>
      <c r="DD183" s="263"/>
      <c r="DE183" s="263"/>
      <c r="DF183" s="263"/>
    </row>
    <row r="184" spans="1:110">
      <c r="A184">
        <v>189</v>
      </c>
      <c r="B184">
        <v>0</v>
      </c>
      <c r="C184" s="252" t="s">
        <v>360</v>
      </c>
      <c r="D184" s="253" t="s">
        <v>164</v>
      </c>
      <c r="E184" s="252" t="s">
        <v>115</v>
      </c>
      <c r="F184" s="252" t="s">
        <v>116</v>
      </c>
      <c r="G184" s="350">
        <v>2</v>
      </c>
      <c r="H184" s="351">
        <v>2</v>
      </c>
      <c r="I184">
        <v>0</v>
      </c>
      <c r="J184">
        <v>0</v>
      </c>
      <c r="K184" s="20">
        <v>7.2175591729316109</v>
      </c>
      <c r="L184" s="20">
        <v>6.871428571428571</v>
      </c>
      <c r="M184" s="20">
        <v>1.5146500981033355</v>
      </c>
      <c r="N184" s="20">
        <v>5.3693204608756293</v>
      </c>
      <c r="O184" s="240">
        <v>71</v>
      </c>
      <c r="P184" s="20">
        <v>7.6805231805231813</v>
      </c>
      <c r="Q184" s="20">
        <v>7.3135888501742166</v>
      </c>
      <c r="R184" s="232">
        <v>142</v>
      </c>
      <c r="S184" s="20">
        <v>3.3188384429595694</v>
      </c>
      <c r="T184" s="20">
        <v>5.5818174780437086</v>
      </c>
      <c r="U184" s="20">
        <v>7.1428571428571432</v>
      </c>
      <c r="V184" s="20">
        <v>6.6666666666666679</v>
      </c>
      <c r="W184" s="232">
        <v>68</v>
      </c>
      <c r="X184" s="239">
        <v>281</v>
      </c>
      <c r="Y184" s="236">
        <f t="shared" si="5"/>
        <v>18.234373358640774</v>
      </c>
    </row>
    <row r="185" spans="1:110">
      <c r="A185">
        <v>190</v>
      </c>
      <c r="B185">
        <v>0</v>
      </c>
      <c r="C185" s="252" t="s">
        <v>652</v>
      </c>
      <c r="D185" s="253" t="s">
        <v>165</v>
      </c>
      <c r="E185" s="252" t="s">
        <v>119</v>
      </c>
      <c r="F185" s="252" t="s">
        <v>125</v>
      </c>
      <c r="G185" s="350">
        <v>3</v>
      </c>
      <c r="H185" s="351">
        <v>3</v>
      </c>
      <c r="I185">
        <v>0</v>
      </c>
      <c r="J185">
        <v>0</v>
      </c>
      <c r="K185" s="20">
        <v>6.2121507368168363</v>
      </c>
      <c r="L185" s="20">
        <v>3.969523809523809</v>
      </c>
      <c r="M185" s="20">
        <v>1.4516187050359712</v>
      </c>
      <c r="N185" s="20">
        <v>5.2990820871329092</v>
      </c>
      <c r="O185" s="240">
        <v>61</v>
      </c>
      <c r="P185" s="20">
        <v>7.2268194768194771</v>
      </c>
      <c r="Q185" s="20">
        <v>6.6864111498257843</v>
      </c>
      <c r="R185" s="232">
        <v>108</v>
      </c>
      <c r="S185" s="20">
        <v>1.0894444396708909</v>
      </c>
      <c r="T185" s="20">
        <v>5.5754882423972365</v>
      </c>
      <c r="U185" s="20">
        <v>6.6190476190476177</v>
      </c>
      <c r="V185" s="20">
        <v>8.5714285714285712</v>
      </c>
      <c r="W185" s="232">
        <v>12</v>
      </c>
      <c r="X185" s="239">
        <v>181</v>
      </c>
      <c r="Y185" s="236">
        <f t="shared" si="5"/>
        <v>16.383357202589245</v>
      </c>
    </row>
    <row r="186" spans="1:110" s="263" customFormat="1">
      <c r="A186">
        <v>191</v>
      </c>
      <c r="B186">
        <v>0</v>
      </c>
      <c r="C186" s="252" t="s">
        <v>408</v>
      </c>
      <c r="D186" s="253" t="s">
        <v>407</v>
      </c>
      <c r="E186" s="252" t="s">
        <v>119</v>
      </c>
      <c r="F186" s="252" t="s">
        <v>136</v>
      </c>
      <c r="G186" s="350">
        <v>1</v>
      </c>
      <c r="H186" s="351">
        <v>3</v>
      </c>
      <c r="I186">
        <v>0</v>
      </c>
      <c r="J186">
        <v>0</v>
      </c>
      <c r="K186" s="305">
        <v>5.1877449724134381</v>
      </c>
      <c r="L186" s="305">
        <v>5.709715136054422</v>
      </c>
      <c r="M186" s="305">
        <v>2.4314748201438849</v>
      </c>
      <c r="N186" s="305">
        <v>6.49480181241608</v>
      </c>
      <c r="O186" s="240">
        <v>65</v>
      </c>
      <c r="P186" s="305">
        <v>6.9434861434861439</v>
      </c>
      <c r="Q186" s="305">
        <v>7.5644599303135882</v>
      </c>
      <c r="R186" s="232">
        <v>68</v>
      </c>
      <c r="S186" s="305">
        <v>2.9005279596585005</v>
      </c>
      <c r="T186" s="20">
        <v>4.6280730667527994</v>
      </c>
      <c r="U186" s="305">
        <v>8.743551587301587</v>
      </c>
      <c r="V186" s="305">
        <v>9.591836734693878</v>
      </c>
      <c r="W186" s="232">
        <v>70</v>
      </c>
      <c r="X186" s="239">
        <v>203</v>
      </c>
      <c r="Y186" s="236">
        <f t="shared" si="5"/>
        <v>18.986391452672237</v>
      </c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</row>
    <row r="187" spans="1:110">
      <c r="A187" s="335">
        <v>146</v>
      </c>
      <c r="B187" s="335">
        <v>0</v>
      </c>
      <c r="C187" s="336" t="s">
        <v>319</v>
      </c>
      <c r="D187" s="336" t="s">
        <v>318</v>
      </c>
      <c r="E187" s="335" t="s">
        <v>113</v>
      </c>
      <c r="F187" s="335" t="s">
        <v>140</v>
      </c>
      <c r="G187" s="350">
        <v>3</v>
      </c>
      <c r="H187" s="354">
        <v>3</v>
      </c>
      <c r="I187">
        <v>0</v>
      </c>
      <c r="J187" s="265">
        <v>0</v>
      </c>
      <c r="K187" s="20">
        <v>6.0421011012982238</v>
      </c>
      <c r="L187" s="20">
        <v>5.3273809523809526</v>
      </c>
      <c r="M187" s="20">
        <v>1.6526079136690646</v>
      </c>
      <c r="N187" s="20">
        <v>5.406918788135699</v>
      </c>
      <c r="O187" s="240">
        <v>162</v>
      </c>
      <c r="P187" s="20">
        <v>7.3695415695415694</v>
      </c>
      <c r="Q187" s="20">
        <v>7.062717770034844</v>
      </c>
      <c r="R187" s="232">
        <v>151</v>
      </c>
      <c r="S187" s="20">
        <v>2.305021439525849</v>
      </c>
      <c r="T187" s="20">
        <v>4.6547619047619051</v>
      </c>
      <c r="U187" s="20">
        <v>7.5178571428571432</v>
      </c>
      <c r="V187" s="20">
        <v>9.5238095238095237</v>
      </c>
      <c r="W187" s="232">
        <v>134</v>
      </c>
      <c r="X187" s="239">
        <v>447</v>
      </c>
      <c r="Y187" s="236">
        <f t="shared" si="5"/>
        <v>17.670332461644435</v>
      </c>
    </row>
    <row r="188" spans="1:110">
      <c r="A188">
        <v>193</v>
      </c>
      <c r="B188">
        <v>0</v>
      </c>
      <c r="C188" s="252" t="s">
        <v>370</v>
      </c>
      <c r="D188" s="253" t="s">
        <v>369</v>
      </c>
      <c r="E188" s="252" t="s">
        <v>119</v>
      </c>
      <c r="F188" s="252" t="s">
        <v>136</v>
      </c>
      <c r="G188" s="350">
        <v>3</v>
      </c>
      <c r="H188" s="351">
        <v>3</v>
      </c>
      <c r="I188">
        <v>0</v>
      </c>
      <c r="J188">
        <v>0</v>
      </c>
      <c r="K188" s="20">
        <v>7.2175591729316109</v>
      </c>
      <c r="L188" s="20">
        <v>6.871428571428571</v>
      </c>
      <c r="M188" s="20">
        <v>1.5346785071942446</v>
      </c>
      <c r="N188" s="20">
        <v>5.3693204608756293</v>
      </c>
      <c r="O188" s="240">
        <v>56</v>
      </c>
      <c r="P188" s="20">
        <v>7.6805231805231813</v>
      </c>
      <c r="Q188" s="20">
        <v>7.3135888501742166</v>
      </c>
      <c r="R188" s="232">
        <v>48</v>
      </c>
      <c r="S188" s="20">
        <v>4.6143946779623262</v>
      </c>
      <c r="T188" s="20">
        <v>4.6574946506056953</v>
      </c>
      <c r="U188" s="20">
        <v>7.1428571428571432</v>
      </c>
      <c r="V188" s="20">
        <v>6.6666666666666679</v>
      </c>
      <c r="W188" s="232">
        <v>63</v>
      </c>
      <c r="X188" s="239">
        <v>167</v>
      </c>
      <c r="Y188" s="236">
        <f t="shared" si="5"/>
        <v>18.332188812804688</v>
      </c>
    </row>
    <row r="189" spans="1:110">
      <c r="A189">
        <v>194</v>
      </c>
      <c r="B189">
        <v>0</v>
      </c>
      <c r="C189" s="252" t="s">
        <v>466</v>
      </c>
      <c r="D189" s="253" t="s">
        <v>168</v>
      </c>
      <c r="E189" s="252" t="s">
        <v>113</v>
      </c>
      <c r="F189" s="252" t="s">
        <v>114</v>
      </c>
      <c r="G189" s="350">
        <v>4</v>
      </c>
      <c r="H189" s="351">
        <v>3</v>
      </c>
      <c r="I189">
        <v>0</v>
      </c>
      <c r="J189">
        <v>0</v>
      </c>
      <c r="K189" s="20">
        <v>6.2121507368168363</v>
      </c>
      <c r="L189" s="20">
        <v>3.969523809523809</v>
      </c>
      <c r="M189" s="20">
        <v>1.4375562050359711</v>
      </c>
      <c r="N189" s="20">
        <v>5.2990820871329092</v>
      </c>
      <c r="O189" s="240">
        <v>130</v>
      </c>
      <c r="P189" s="20">
        <v>7.2268194768194771</v>
      </c>
      <c r="Q189" s="20">
        <v>6.6864111498257843</v>
      </c>
      <c r="R189" s="232">
        <v>89</v>
      </c>
      <c r="S189" s="20">
        <v>4.2857142857142865</v>
      </c>
      <c r="T189" s="20">
        <v>4.6106501652902212</v>
      </c>
      <c r="U189" s="20">
        <v>6.6190476190476177</v>
      </c>
      <c r="V189" s="20">
        <v>8.5714285714285712</v>
      </c>
      <c r="W189" s="232">
        <v>79</v>
      </c>
      <c r="X189" s="239">
        <v>298</v>
      </c>
      <c r="Y189" s="236">
        <f t="shared" si="5"/>
        <v>16.93769951982334</v>
      </c>
    </row>
    <row r="190" spans="1:110">
      <c r="A190">
        <v>195</v>
      </c>
      <c r="B190">
        <v>0</v>
      </c>
      <c r="C190" s="252" t="s">
        <v>636</v>
      </c>
      <c r="D190" s="253" t="s">
        <v>635</v>
      </c>
      <c r="E190" s="252" t="s">
        <v>107</v>
      </c>
      <c r="F190" s="252" t="s">
        <v>108</v>
      </c>
      <c r="G190" s="350">
        <v>3</v>
      </c>
      <c r="H190" s="351">
        <v>3</v>
      </c>
      <c r="I190">
        <v>0</v>
      </c>
      <c r="J190">
        <v>0</v>
      </c>
      <c r="K190" s="20">
        <v>5.1877449724134381</v>
      </c>
      <c r="L190" s="20">
        <v>5.709715136054422</v>
      </c>
      <c r="M190" s="20">
        <v>2.4689748201438846</v>
      </c>
      <c r="N190" s="20">
        <v>6.49480181241608</v>
      </c>
      <c r="O190" s="240">
        <v>77</v>
      </c>
      <c r="P190" s="20">
        <v>6.9434861434861439</v>
      </c>
      <c r="Q190" s="20">
        <v>7.5644599303135882</v>
      </c>
      <c r="R190" s="232">
        <v>67</v>
      </c>
      <c r="S190" s="20">
        <v>5.131589791140561</v>
      </c>
      <c r="T190" s="20">
        <v>5.773403688455006</v>
      </c>
      <c r="U190" s="20">
        <v>8.743551587301587</v>
      </c>
      <c r="V190" s="20">
        <v>9.591836734693878</v>
      </c>
      <c r="W190" s="232">
        <v>6</v>
      </c>
      <c r="X190" s="239">
        <v>150</v>
      </c>
      <c r="Y190" s="236">
        <f t="shared" si="5"/>
        <v>19.839864565968302</v>
      </c>
      <c r="AS190" s="263"/>
      <c r="AT190" s="263"/>
      <c r="AU190" s="263"/>
      <c r="AV190" s="263"/>
      <c r="AW190" s="263"/>
      <c r="AX190" s="263"/>
      <c r="AY190" s="263"/>
      <c r="AZ190" s="263"/>
      <c r="BA190" s="263"/>
      <c r="BB190" s="263"/>
      <c r="BC190" s="263"/>
      <c r="BD190" s="263"/>
      <c r="BE190" s="263"/>
      <c r="BF190" s="263"/>
      <c r="BG190" s="263"/>
      <c r="BH190" s="263"/>
      <c r="BI190" s="263"/>
      <c r="BJ190" s="263"/>
      <c r="BK190" s="263"/>
      <c r="BL190" s="263"/>
      <c r="BM190" s="263"/>
      <c r="BN190" s="263"/>
      <c r="BO190" s="263"/>
      <c r="BP190" s="263"/>
      <c r="BQ190" s="263"/>
      <c r="BR190" s="263"/>
      <c r="BS190" s="263"/>
      <c r="BT190" s="263"/>
      <c r="BU190" s="263"/>
      <c r="BV190" s="263"/>
      <c r="BW190" s="263"/>
      <c r="BX190" s="263"/>
      <c r="BY190" s="263"/>
      <c r="BZ190" s="263"/>
      <c r="CA190" s="263"/>
      <c r="CB190" s="263"/>
      <c r="CC190" s="263"/>
      <c r="CD190" s="263"/>
      <c r="CE190" s="263"/>
      <c r="CF190" s="263"/>
      <c r="CG190" s="263"/>
      <c r="CH190" s="263"/>
      <c r="CI190" s="263"/>
      <c r="CJ190" s="263"/>
      <c r="CK190" s="263"/>
      <c r="CL190" s="263"/>
      <c r="CM190" s="263"/>
      <c r="CN190" s="263"/>
      <c r="CO190" s="263"/>
      <c r="CP190" s="263"/>
      <c r="CQ190" s="263"/>
      <c r="CR190" s="263"/>
      <c r="CS190" s="263"/>
      <c r="CT190" s="263"/>
      <c r="CU190" s="263"/>
      <c r="CV190" s="263"/>
      <c r="CW190" s="263"/>
      <c r="CX190" s="263"/>
      <c r="CY190" s="263"/>
      <c r="CZ190" s="263"/>
      <c r="DA190" s="263"/>
      <c r="DB190" s="263"/>
      <c r="DC190" s="263"/>
      <c r="DD190" s="263"/>
      <c r="DE190" s="263"/>
      <c r="DF190" s="263"/>
    </row>
    <row r="191" spans="1:110">
      <c r="A191">
        <v>196</v>
      </c>
      <c r="B191">
        <v>0</v>
      </c>
      <c r="C191" s="252" t="s">
        <v>416</v>
      </c>
      <c r="D191" s="253" t="s">
        <v>415</v>
      </c>
      <c r="E191" s="252" t="s">
        <v>107</v>
      </c>
      <c r="F191" s="252" t="s">
        <v>108</v>
      </c>
      <c r="G191" s="350">
        <v>4</v>
      </c>
      <c r="H191" s="351">
        <v>3</v>
      </c>
      <c r="I191">
        <v>0</v>
      </c>
      <c r="J191">
        <v>0</v>
      </c>
      <c r="K191" s="20">
        <v>6.0421011012982238</v>
      </c>
      <c r="L191" s="20">
        <v>5.3273809523809526</v>
      </c>
      <c r="M191" s="20">
        <v>1.6854204136690647</v>
      </c>
      <c r="N191" s="20">
        <v>5.406918788135699</v>
      </c>
      <c r="O191" s="240">
        <v>108</v>
      </c>
      <c r="P191" s="20">
        <v>7.3695415695415694</v>
      </c>
      <c r="Q191" s="20">
        <v>7.062717770034844</v>
      </c>
      <c r="R191" s="232">
        <v>70</v>
      </c>
      <c r="S191" s="20">
        <v>5.9110001047965746</v>
      </c>
      <c r="T191" s="20">
        <v>5.9110001047965746</v>
      </c>
      <c r="U191" s="20">
        <v>7.5178571428571432</v>
      </c>
      <c r="V191" s="20">
        <v>9.5238095238095237</v>
      </c>
      <c r="W191" s="232">
        <v>26</v>
      </c>
      <c r="X191" s="239">
        <v>204</v>
      </c>
      <c r="Y191" s="236">
        <f t="shared" si="5"/>
        <v>18.894089802970782</v>
      </c>
    </row>
    <row r="192" spans="1:110" s="263" customFormat="1">
      <c r="A192">
        <v>197</v>
      </c>
      <c r="B192">
        <v>0</v>
      </c>
      <c r="C192" s="252" t="s">
        <v>247</v>
      </c>
      <c r="D192" s="253" t="s">
        <v>246</v>
      </c>
      <c r="E192" s="252" t="s">
        <v>107</v>
      </c>
      <c r="F192" s="252" t="s">
        <v>108</v>
      </c>
      <c r="G192" s="350">
        <v>4</v>
      </c>
      <c r="H192" s="351">
        <v>4</v>
      </c>
      <c r="I192">
        <v>0</v>
      </c>
      <c r="J192">
        <v>0</v>
      </c>
      <c r="K192" s="20">
        <v>7.0246018898146634</v>
      </c>
      <c r="L192" s="20">
        <v>3.6166666666666671</v>
      </c>
      <c r="M192" s="20">
        <v>2.111848021582734</v>
      </c>
      <c r="N192" s="20">
        <v>5.2066118512112096</v>
      </c>
      <c r="O192" s="240">
        <v>119</v>
      </c>
      <c r="P192" s="20">
        <v>7.1585211085211089</v>
      </c>
      <c r="Q192" s="20">
        <v>3.2369337979094079</v>
      </c>
      <c r="R192" s="232">
        <v>147</v>
      </c>
      <c r="S192" s="20">
        <v>5.5908436554403238</v>
      </c>
      <c r="T192" s="20">
        <v>5.5908436554403238</v>
      </c>
      <c r="U192" s="20">
        <v>6.125</v>
      </c>
      <c r="V192" s="20">
        <v>7.6190476190476186</v>
      </c>
      <c r="W192" s="232">
        <v>69</v>
      </c>
      <c r="X192" s="239">
        <v>335</v>
      </c>
      <c r="Y192" s="236">
        <f t="shared" si="5"/>
        <v>13.958299637710294</v>
      </c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</row>
    <row r="193" spans="1:44" s="23" customFormat="1">
      <c r="A193" s="23">
        <v>129</v>
      </c>
      <c r="B193" s="23">
        <v>2</v>
      </c>
      <c r="C193" s="331" t="s">
        <v>149</v>
      </c>
      <c r="D193" s="332" t="s">
        <v>150</v>
      </c>
      <c r="E193" s="332" t="s">
        <v>119</v>
      </c>
      <c r="F193" s="332" t="s">
        <v>136</v>
      </c>
      <c r="G193" s="356"/>
      <c r="H193" s="356"/>
      <c r="I193" s="23">
        <v>0</v>
      </c>
      <c r="J193" s="23">
        <v>0</v>
      </c>
      <c r="K193" s="323">
        <v>1</v>
      </c>
      <c r="L193" s="323">
        <v>1</v>
      </c>
      <c r="M193" s="323">
        <v>1</v>
      </c>
      <c r="N193" s="323">
        <v>1</v>
      </c>
      <c r="O193" s="333">
        <v>999</v>
      </c>
      <c r="P193" s="323">
        <v>1</v>
      </c>
      <c r="Q193" s="323">
        <v>1</v>
      </c>
      <c r="R193" s="333">
        <v>999</v>
      </c>
      <c r="S193" s="323">
        <v>1</v>
      </c>
      <c r="T193" s="323">
        <v>1.0791999509209735</v>
      </c>
      <c r="U193" s="323">
        <v>1</v>
      </c>
      <c r="V193" s="323">
        <v>1</v>
      </c>
      <c r="W193" s="333">
        <v>999</v>
      </c>
      <c r="X193" s="333">
        <v>999</v>
      </c>
      <c r="Y193" s="323">
        <f t="shared" si="5"/>
        <v>3.0197999877302433</v>
      </c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</row>
    <row r="194" spans="1:44" s="23" customFormat="1">
      <c r="A194" s="23">
        <v>133</v>
      </c>
      <c r="B194" s="23">
        <v>2</v>
      </c>
      <c r="C194" s="331" t="s">
        <v>151</v>
      </c>
      <c r="D194" s="332" t="s">
        <v>152</v>
      </c>
      <c r="E194" s="332" t="s">
        <v>119</v>
      </c>
      <c r="F194" s="332" t="s">
        <v>136</v>
      </c>
      <c r="G194" s="356"/>
      <c r="H194" s="356"/>
      <c r="I194" s="23">
        <v>0</v>
      </c>
      <c r="J194" s="23">
        <v>0</v>
      </c>
      <c r="K194" s="323">
        <v>1</v>
      </c>
      <c r="L194" s="323">
        <v>1</v>
      </c>
      <c r="M194" s="323">
        <v>1</v>
      </c>
      <c r="N194" s="323">
        <v>1</v>
      </c>
      <c r="O194" s="333">
        <v>999</v>
      </c>
      <c r="P194" s="323">
        <v>1</v>
      </c>
      <c r="Q194" s="323">
        <v>1</v>
      </c>
      <c r="R194" s="333">
        <v>999</v>
      </c>
      <c r="S194" s="323">
        <v>1</v>
      </c>
      <c r="T194" s="323">
        <v>1</v>
      </c>
      <c r="U194" s="323">
        <v>1</v>
      </c>
      <c r="V194" s="323">
        <v>1</v>
      </c>
      <c r="W194" s="333">
        <v>999</v>
      </c>
      <c r="X194" s="333">
        <v>999</v>
      </c>
      <c r="Y194" s="323">
        <f t="shared" si="5"/>
        <v>3</v>
      </c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</row>
    <row r="195" spans="1:44" s="23" customFormat="1">
      <c r="A195" s="23">
        <v>180</v>
      </c>
      <c r="B195" s="23">
        <v>2</v>
      </c>
      <c r="C195" s="331" t="s">
        <v>158</v>
      </c>
      <c r="D195" s="332" t="s">
        <v>159</v>
      </c>
      <c r="E195" s="332" t="s">
        <v>119</v>
      </c>
      <c r="F195" s="332" t="s">
        <v>136</v>
      </c>
      <c r="G195" s="356"/>
      <c r="H195" s="356"/>
      <c r="I195" s="23">
        <v>0</v>
      </c>
      <c r="J195" s="23">
        <v>0</v>
      </c>
      <c r="K195" s="323">
        <v>1</v>
      </c>
      <c r="L195" s="323">
        <v>1</v>
      </c>
      <c r="M195" s="323">
        <v>1</v>
      </c>
      <c r="N195" s="323">
        <v>1</v>
      </c>
      <c r="O195" s="333">
        <v>999</v>
      </c>
      <c r="P195" s="323">
        <v>1</v>
      </c>
      <c r="Q195" s="323">
        <v>1</v>
      </c>
      <c r="R195" s="333">
        <v>999</v>
      </c>
      <c r="S195" s="323">
        <v>1</v>
      </c>
      <c r="T195" s="323">
        <v>1.0080747468009124</v>
      </c>
      <c r="U195" s="323">
        <v>1</v>
      </c>
      <c r="V195" s="323">
        <v>1</v>
      </c>
      <c r="W195" s="333">
        <v>999</v>
      </c>
      <c r="X195" s="333">
        <v>999</v>
      </c>
      <c r="Y195" s="323">
        <f t="shared" si="5"/>
        <v>3.0020186867002279</v>
      </c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</row>
    <row r="196" spans="1:44" s="23" customFormat="1">
      <c r="A196" s="23">
        <v>187</v>
      </c>
      <c r="B196" s="23">
        <v>2</v>
      </c>
      <c r="C196" s="331" t="s">
        <v>161</v>
      </c>
      <c r="D196" s="332" t="s">
        <v>162</v>
      </c>
      <c r="E196" s="332" t="s">
        <v>111</v>
      </c>
      <c r="F196" s="332" t="s">
        <v>112</v>
      </c>
      <c r="G196" s="356"/>
      <c r="H196" s="356"/>
      <c r="I196" s="23">
        <v>0</v>
      </c>
      <c r="J196" s="23">
        <v>0</v>
      </c>
      <c r="K196" s="323">
        <v>1</v>
      </c>
      <c r="L196" s="323">
        <v>1</v>
      </c>
      <c r="M196" s="323">
        <v>1</v>
      </c>
      <c r="N196" s="323">
        <v>1</v>
      </c>
      <c r="O196" s="333">
        <v>999</v>
      </c>
      <c r="P196" s="323">
        <v>1</v>
      </c>
      <c r="Q196" s="323">
        <v>1</v>
      </c>
      <c r="R196" s="333">
        <v>999</v>
      </c>
      <c r="S196" s="323">
        <v>1</v>
      </c>
      <c r="T196" s="323">
        <v>8.4425655351223181</v>
      </c>
      <c r="U196" s="323">
        <v>1</v>
      </c>
      <c r="V196" s="323">
        <v>1</v>
      </c>
      <c r="W196" s="333">
        <v>999</v>
      </c>
      <c r="X196" s="333">
        <v>999</v>
      </c>
      <c r="Y196" s="323">
        <f t="shared" si="5"/>
        <v>4.86064138378058</v>
      </c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</row>
    <row r="197" spans="1:44" s="23" customFormat="1">
      <c r="A197" s="23">
        <v>192</v>
      </c>
      <c r="B197" s="23">
        <v>2</v>
      </c>
      <c r="C197" s="331" t="s">
        <v>166</v>
      </c>
      <c r="D197" s="332" t="s">
        <v>167</v>
      </c>
      <c r="E197" s="332" t="s">
        <v>119</v>
      </c>
      <c r="F197" s="332" t="s">
        <v>136</v>
      </c>
      <c r="G197" s="356"/>
      <c r="H197" s="356"/>
      <c r="I197" s="23">
        <v>0</v>
      </c>
      <c r="J197" s="23">
        <v>0</v>
      </c>
      <c r="K197" s="323">
        <v>1</v>
      </c>
      <c r="L197" s="323">
        <v>1</v>
      </c>
      <c r="M197" s="323">
        <v>1</v>
      </c>
      <c r="N197" s="323">
        <v>1</v>
      </c>
      <c r="O197" s="333">
        <v>999</v>
      </c>
      <c r="P197" s="323">
        <v>1</v>
      </c>
      <c r="Q197" s="323">
        <v>1</v>
      </c>
      <c r="R197" s="333">
        <v>999</v>
      </c>
      <c r="S197" s="323">
        <v>1</v>
      </c>
      <c r="T197" s="323">
        <v>1.0072518208194694</v>
      </c>
      <c r="U197" s="323">
        <v>1</v>
      </c>
      <c r="V197" s="323">
        <v>1</v>
      </c>
      <c r="W197" s="333">
        <v>999</v>
      </c>
      <c r="X197" s="333">
        <v>999</v>
      </c>
      <c r="Y197" s="323">
        <f t="shared" si="5"/>
        <v>3.0018129552048674</v>
      </c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</row>
    <row r="198" spans="1:44" s="25" customFormat="1">
      <c r="A198" s="334"/>
      <c r="B198" s="334"/>
      <c r="C198" s="334"/>
      <c r="D198" s="334"/>
      <c r="E198" s="334"/>
      <c r="F198" s="334"/>
      <c r="G198" s="337"/>
      <c r="H198" s="334"/>
      <c r="I198" s="334"/>
      <c r="J198" s="334"/>
      <c r="K198" s="338"/>
      <c r="L198" s="338"/>
      <c r="M198" s="338"/>
      <c r="N198" s="338"/>
      <c r="O198" s="344"/>
      <c r="P198" s="338"/>
      <c r="Q198" s="338"/>
      <c r="R198" s="344"/>
      <c r="S198" s="338"/>
      <c r="T198" s="338"/>
      <c r="U198" s="338"/>
      <c r="V198" s="338"/>
      <c r="W198" s="344"/>
      <c r="X198" s="341"/>
      <c r="Y198" s="338"/>
    </row>
    <row r="199" spans="1:44" s="13" customFormat="1">
      <c r="A199" s="261"/>
      <c r="B199" s="261"/>
      <c r="C199" s="261"/>
      <c r="D199" s="261"/>
      <c r="E199" s="261"/>
      <c r="F199" s="261"/>
      <c r="G199" s="262"/>
      <c r="H199" s="261"/>
      <c r="I199" s="261"/>
      <c r="J199" s="261"/>
      <c r="K199" s="236"/>
      <c r="L199" s="236"/>
      <c r="M199" s="236"/>
      <c r="N199" s="236"/>
      <c r="O199" s="325"/>
      <c r="P199" s="236"/>
      <c r="Q199" s="236"/>
      <c r="R199" s="325"/>
      <c r="S199" s="236"/>
      <c r="T199" s="236"/>
      <c r="U199" s="236"/>
      <c r="V199" s="236"/>
      <c r="W199" s="325"/>
      <c r="X199" s="329"/>
      <c r="Y199" s="236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</row>
    <row r="200" spans="1:44" s="13" customFormat="1">
      <c r="A200" s="261"/>
      <c r="B200" s="261"/>
      <c r="C200" s="261"/>
      <c r="D200" s="261"/>
      <c r="E200" s="261"/>
      <c r="F200" s="261"/>
      <c r="G200" s="262"/>
      <c r="H200" s="261"/>
      <c r="I200" s="261"/>
      <c r="J200" s="261"/>
      <c r="K200"/>
      <c r="L200"/>
      <c r="M200" s="20"/>
      <c r="N200" s="20"/>
      <c r="O200" s="20"/>
      <c r="P200" s="20"/>
      <c r="Q200" s="20"/>
      <c r="R200" s="20"/>
      <c r="S200" s="20"/>
      <c r="T200" s="20"/>
      <c r="U200" s="20"/>
      <c r="V200" s="20"/>
      <c r="W200" s="325"/>
      <c r="X200" s="329"/>
      <c r="Y200" s="236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</row>
    <row r="201" spans="1:44" s="13" customFormat="1">
      <c r="A201" s="261"/>
      <c r="B201" s="261"/>
      <c r="C201" s="261"/>
      <c r="D201" s="261"/>
      <c r="E201" s="261"/>
      <c r="F201" s="261"/>
      <c r="G201" s="262"/>
      <c r="H201" s="261"/>
      <c r="I201" s="261"/>
      <c r="J201" s="261"/>
      <c r="K201"/>
      <c r="L201" s="252"/>
      <c r="M201" s="20"/>
      <c r="N201" s="20"/>
      <c r="O201" s="20"/>
      <c r="P201" s="20"/>
      <c r="Q201" s="20"/>
      <c r="R201" s="20"/>
      <c r="S201" s="20"/>
      <c r="T201" s="20"/>
      <c r="U201" s="20"/>
      <c r="V201" s="20"/>
      <c r="W201" s="325"/>
      <c r="X201" s="329"/>
      <c r="Y201" s="236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</row>
    <row r="202" spans="1:44" s="13" customFormat="1">
      <c r="A202" s="261" t="s">
        <v>56</v>
      </c>
      <c r="B202" s="261"/>
      <c r="C202" s="261"/>
      <c r="D202" s="261"/>
      <c r="E202" s="261"/>
      <c r="F202" s="261"/>
      <c r="G202" s="262"/>
      <c r="H202" s="261"/>
      <c r="I202" s="261"/>
      <c r="J202" s="261"/>
      <c r="K202" s="236"/>
      <c r="L202" s="236"/>
      <c r="M202" s="236"/>
      <c r="N202" s="236"/>
      <c r="O202" s="325"/>
      <c r="P202" s="236"/>
      <c r="Q202" s="236"/>
      <c r="R202" s="325"/>
      <c r="S202" s="236"/>
      <c r="T202" s="236"/>
      <c r="U202" s="236"/>
      <c r="V202" s="236"/>
      <c r="W202" s="325"/>
      <c r="X202" s="329"/>
      <c r="Y202" s="236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</row>
    <row r="203" spans="1:44">
      <c r="A203" s="256">
        <v>198</v>
      </c>
      <c r="B203" s="256">
        <v>1</v>
      </c>
      <c r="C203" s="257" t="s">
        <v>169</v>
      </c>
      <c r="D203" s="257" t="s">
        <v>170</v>
      </c>
      <c r="E203" s="257" t="s">
        <v>115</v>
      </c>
      <c r="F203" s="257" t="s">
        <v>118</v>
      </c>
      <c r="G203" s="254"/>
      <c r="J203" s="264"/>
    </row>
    <row r="204" spans="1:44">
      <c r="A204" s="256">
        <v>199</v>
      </c>
      <c r="B204" s="256">
        <v>1</v>
      </c>
      <c r="C204" s="257" t="s">
        <v>171</v>
      </c>
      <c r="D204" s="257" t="s">
        <v>172</v>
      </c>
      <c r="E204" s="257" t="s">
        <v>115</v>
      </c>
      <c r="F204" s="257" t="s">
        <v>118</v>
      </c>
      <c r="G204" s="254"/>
      <c r="J204" s="264"/>
    </row>
    <row r="205" spans="1:44">
      <c r="A205" s="256">
        <v>200</v>
      </c>
      <c r="B205" s="256">
        <v>1</v>
      </c>
      <c r="C205" s="257" t="s">
        <v>173</v>
      </c>
      <c r="D205" s="257" t="s">
        <v>174</v>
      </c>
      <c r="E205" s="257" t="s">
        <v>115</v>
      </c>
      <c r="F205" s="257" t="s">
        <v>118</v>
      </c>
      <c r="G205" s="254"/>
      <c r="J205" s="264"/>
    </row>
    <row r="206" spans="1:44">
      <c r="A206" s="256">
        <v>201</v>
      </c>
      <c r="B206" s="256">
        <v>1</v>
      </c>
      <c r="C206" s="257" t="s">
        <v>175</v>
      </c>
      <c r="D206" s="257" t="s">
        <v>176</v>
      </c>
      <c r="E206" s="257" t="s">
        <v>119</v>
      </c>
      <c r="F206" s="257" t="s">
        <v>136</v>
      </c>
      <c r="G206" s="254"/>
      <c r="J206" s="264"/>
      <c r="O206" s="326"/>
    </row>
    <row r="207" spans="1:44">
      <c r="A207" s="256">
        <v>202</v>
      </c>
      <c r="B207" s="256">
        <v>1</v>
      </c>
      <c r="C207" s="257" t="s">
        <v>480</v>
      </c>
      <c r="D207" s="257" t="s">
        <v>479</v>
      </c>
      <c r="E207" s="257" t="s">
        <v>127</v>
      </c>
      <c r="F207" s="257" t="s">
        <v>118</v>
      </c>
      <c r="G207" s="254"/>
      <c r="J207" s="264"/>
      <c r="O207" s="327"/>
    </row>
    <row r="208" spans="1:44">
      <c r="A208" s="256">
        <v>203</v>
      </c>
      <c r="B208" s="256">
        <v>1</v>
      </c>
      <c r="C208" s="257" t="s">
        <v>177</v>
      </c>
      <c r="D208" s="257" t="s">
        <v>178</v>
      </c>
      <c r="E208" s="257" t="s">
        <v>119</v>
      </c>
      <c r="F208" s="257" t="s">
        <v>136</v>
      </c>
      <c r="G208" s="254"/>
      <c r="O208" s="327"/>
    </row>
    <row r="209" spans="1:25">
      <c r="A209" s="256">
        <v>204</v>
      </c>
      <c r="B209" s="256">
        <v>1</v>
      </c>
      <c r="C209" s="257" t="s">
        <v>324</v>
      </c>
      <c r="D209" s="257" t="s">
        <v>323</v>
      </c>
      <c r="E209" s="257" t="s">
        <v>115</v>
      </c>
      <c r="F209" s="257" t="s">
        <v>118</v>
      </c>
      <c r="G209" s="254"/>
      <c r="O209" s="327"/>
      <c r="P209"/>
      <c r="Q209"/>
      <c r="R209" s="232"/>
      <c r="S209"/>
      <c r="T209"/>
      <c r="U209"/>
      <c r="V209"/>
      <c r="W209" s="232"/>
      <c r="Y209"/>
    </row>
    <row r="210" spans="1:25">
      <c r="A210" s="256">
        <v>205</v>
      </c>
      <c r="B210" s="256">
        <v>1</v>
      </c>
      <c r="C210" s="257" t="s">
        <v>179</v>
      </c>
      <c r="D210" s="257" t="s">
        <v>180</v>
      </c>
      <c r="E210" s="257" t="s">
        <v>113</v>
      </c>
      <c r="F210" s="257" t="s">
        <v>134</v>
      </c>
      <c r="G210" s="254"/>
      <c r="O210" s="327"/>
      <c r="P210"/>
      <c r="Q210"/>
      <c r="R210" s="232"/>
      <c r="S210"/>
      <c r="T210"/>
      <c r="U210"/>
      <c r="V210"/>
      <c r="W210" s="232"/>
      <c r="Y210"/>
    </row>
    <row r="211" spans="1:25">
      <c r="A211" s="256">
        <v>206</v>
      </c>
      <c r="B211" s="256">
        <v>1</v>
      </c>
      <c r="C211" s="257" t="s">
        <v>181</v>
      </c>
      <c r="D211" s="257" t="s">
        <v>0</v>
      </c>
      <c r="E211" s="257" t="s">
        <v>115</v>
      </c>
      <c r="F211" s="257" t="s">
        <v>116</v>
      </c>
      <c r="G211" s="254"/>
      <c r="O211" s="327"/>
      <c r="P211"/>
      <c r="Q211"/>
      <c r="R211" s="232"/>
      <c r="S211"/>
      <c r="T211"/>
      <c r="U211"/>
      <c r="V211"/>
      <c r="W211" s="232"/>
      <c r="Y211"/>
    </row>
    <row r="212" spans="1:25">
      <c r="A212" s="256">
        <v>207</v>
      </c>
      <c r="B212" s="256">
        <v>1</v>
      </c>
      <c r="C212" s="257" t="s">
        <v>1</v>
      </c>
      <c r="D212" s="257" t="s">
        <v>2</v>
      </c>
      <c r="E212" s="257" t="s">
        <v>111</v>
      </c>
      <c r="F212" s="257" t="s">
        <v>112</v>
      </c>
      <c r="G212" s="254"/>
      <c r="O212" s="327"/>
      <c r="P212"/>
      <c r="Q212"/>
      <c r="R212" s="232"/>
      <c r="S212"/>
      <c r="T212"/>
      <c r="U212"/>
      <c r="V212"/>
      <c r="W212" s="232"/>
      <c r="Y212"/>
    </row>
    <row r="213" spans="1:25">
      <c r="A213" s="256">
        <v>208</v>
      </c>
      <c r="B213" s="256">
        <v>1</v>
      </c>
      <c r="C213" s="257" t="s">
        <v>3</v>
      </c>
      <c r="D213" s="257" t="s">
        <v>4</v>
      </c>
      <c r="E213" s="257" t="s">
        <v>111</v>
      </c>
      <c r="F213" s="257" t="s">
        <v>112</v>
      </c>
      <c r="G213" s="254"/>
      <c r="O213" s="327"/>
      <c r="P213"/>
      <c r="Q213"/>
      <c r="R213" s="232"/>
      <c r="S213"/>
      <c r="T213"/>
      <c r="U213"/>
      <c r="V213"/>
      <c r="W213" s="232"/>
      <c r="Y213"/>
    </row>
    <row r="214" spans="1:25">
      <c r="A214" s="256">
        <v>209</v>
      </c>
      <c r="B214" s="256">
        <v>1</v>
      </c>
      <c r="C214" s="257" t="s">
        <v>5</v>
      </c>
      <c r="D214" s="257" t="s">
        <v>6</v>
      </c>
      <c r="E214" s="257" t="s">
        <v>115</v>
      </c>
      <c r="F214" s="257" t="s">
        <v>118</v>
      </c>
      <c r="G214" s="254"/>
      <c r="O214" s="327"/>
      <c r="P214"/>
      <c r="Q214"/>
      <c r="R214" s="232"/>
      <c r="S214"/>
      <c r="T214"/>
      <c r="U214"/>
      <c r="V214"/>
      <c r="W214" s="232"/>
      <c r="Y214"/>
    </row>
    <row r="215" spans="1:25">
      <c r="A215" s="256">
        <v>210</v>
      </c>
      <c r="B215" s="256">
        <v>1</v>
      </c>
      <c r="C215" s="257" t="s">
        <v>7</v>
      </c>
      <c r="D215" s="257" t="s">
        <v>8</v>
      </c>
      <c r="E215" s="257" t="s">
        <v>127</v>
      </c>
      <c r="F215" s="257" t="s">
        <v>9</v>
      </c>
      <c r="G215" s="254"/>
      <c r="O215" s="327"/>
      <c r="P215"/>
      <c r="Q215"/>
      <c r="R215" s="232"/>
      <c r="S215"/>
      <c r="T215"/>
      <c r="U215"/>
      <c r="V215"/>
      <c r="W215" s="232"/>
      <c r="Y215"/>
    </row>
    <row r="216" spans="1:25">
      <c r="A216" s="256">
        <v>211</v>
      </c>
      <c r="B216" s="256">
        <v>1</v>
      </c>
      <c r="C216" s="257" t="s">
        <v>10</v>
      </c>
      <c r="D216" s="257" t="s">
        <v>11</v>
      </c>
      <c r="E216" s="257" t="s">
        <v>115</v>
      </c>
      <c r="F216" s="257" t="s">
        <v>116</v>
      </c>
      <c r="G216" s="254"/>
      <c r="P216"/>
      <c r="Q216"/>
      <c r="R216" s="232"/>
      <c r="S216"/>
      <c r="T216"/>
      <c r="U216"/>
      <c r="V216"/>
      <c r="W216" s="232"/>
      <c r="Y216"/>
    </row>
    <row r="217" spans="1:25">
      <c r="A217" s="256">
        <v>212</v>
      </c>
      <c r="B217" s="256">
        <v>1</v>
      </c>
      <c r="C217" s="257" t="s">
        <v>330</v>
      </c>
      <c r="D217" s="257" t="s">
        <v>329</v>
      </c>
      <c r="E217" s="257" t="s">
        <v>119</v>
      </c>
      <c r="F217" s="257" t="s">
        <v>136</v>
      </c>
      <c r="G217" s="254"/>
      <c r="P217"/>
      <c r="Q217"/>
      <c r="R217" s="232"/>
      <c r="S217"/>
      <c r="T217"/>
      <c r="U217"/>
      <c r="V217"/>
      <c r="W217" s="232"/>
      <c r="Y217"/>
    </row>
    <row r="218" spans="1:25">
      <c r="A218" s="256">
        <v>213</v>
      </c>
      <c r="B218" s="256">
        <v>1</v>
      </c>
      <c r="C218" s="257" t="s">
        <v>12</v>
      </c>
      <c r="D218" s="257" t="s">
        <v>13</v>
      </c>
      <c r="E218" s="257" t="s">
        <v>119</v>
      </c>
      <c r="F218" s="257" t="s">
        <v>128</v>
      </c>
      <c r="G218" s="254"/>
      <c r="P218"/>
      <c r="Q218"/>
      <c r="R218" s="232"/>
      <c r="S218"/>
      <c r="T218"/>
      <c r="U218"/>
      <c r="V218"/>
      <c r="W218" s="232"/>
      <c r="Y218"/>
    </row>
    <row r="219" spans="1:25">
      <c r="A219" s="256">
        <v>214</v>
      </c>
      <c r="B219" s="256">
        <v>1</v>
      </c>
      <c r="C219" s="257" t="s">
        <v>14</v>
      </c>
      <c r="D219" s="257" t="s">
        <v>15</v>
      </c>
      <c r="E219" s="257" t="s">
        <v>111</v>
      </c>
      <c r="F219" s="257" t="s">
        <v>112</v>
      </c>
      <c r="G219" s="254"/>
      <c r="P219"/>
      <c r="Q219"/>
      <c r="R219" s="232"/>
      <c r="S219"/>
      <c r="T219"/>
      <c r="U219"/>
      <c r="V219"/>
      <c r="W219" s="232"/>
      <c r="Y219"/>
    </row>
    <row r="220" spans="1:25">
      <c r="A220" s="256">
        <v>215</v>
      </c>
      <c r="B220" s="256">
        <v>1</v>
      </c>
      <c r="C220" s="257" t="s">
        <v>328</v>
      </c>
      <c r="D220" s="257" t="s">
        <v>16</v>
      </c>
      <c r="E220" s="257" t="s">
        <v>119</v>
      </c>
      <c r="F220" s="257" t="s">
        <v>128</v>
      </c>
      <c r="G220" s="254"/>
      <c r="P220"/>
      <c r="Q220"/>
      <c r="R220" s="232"/>
      <c r="S220"/>
      <c r="T220"/>
      <c r="U220"/>
      <c r="V220"/>
      <c r="W220" s="232"/>
      <c r="Y220"/>
    </row>
    <row r="221" spans="1:25">
      <c r="A221" s="256">
        <v>216</v>
      </c>
      <c r="B221" s="256">
        <v>1</v>
      </c>
      <c r="C221" s="257" t="s">
        <v>17</v>
      </c>
      <c r="D221" s="257" t="s">
        <v>18</v>
      </c>
      <c r="E221" s="257" t="s">
        <v>119</v>
      </c>
      <c r="F221" s="257" t="s">
        <v>136</v>
      </c>
      <c r="G221" s="254"/>
      <c r="P221"/>
      <c r="Q221"/>
      <c r="R221" s="232"/>
      <c r="S221"/>
      <c r="T221"/>
      <c r="U221"/>
      <c r="V221"/>
      <c r="W221" s="232"/>
      <c r="Y221"/>
    </row>
    <row r="222" spans="1:25">
      <c r="A222" s="256">
        <v>217</v>
      </c>
      <c r="B222" s="256">
        <v>1</v>
      </c>
      <c r="C222" s="257" t="s">
        <v>19</v>
      </c>
      <c r="D222" s="257" t="s">
        <v>20</v>
      </c>
      <c r="E222" s="257" t="s">
        <v>115</v>
      </c>
      <c r="F222" s="257" t="s">
        <v>118</v>
      </c>
      <c r="G222" s="254"/>
      <c r="P222"/>
      <c r="Q222"/>
      <c r="R222" s="232"/>
      <c r="S222"/>
      <c r="T222"/>
      <c r="U222"/>
      <c r="V222"/>
      <c r="W222" s="232"/>
      <c r="Y222"/>
    </row>
    <row r="223" spans="1:25">
      <c r="A223" s="256">
        <v>218</v>
      </c>
      <c r="B223" s="256">
        <v>1</v>
      </c>
      <c r="C223" s="257" t="s">
        <v>21</v>
      </c>
      <c r="D223" s="257" t="s">
        <v>22</v>
      </c>
      <c r="E223" s="257" t="s">
        <v>115</v>
      </c>
      <c r="F223" s="257" t="s">
        <v>118</v>
      </c>
      <c r="G223" s="254"/>
      <c r="P223"/>
      <c r="Q223"/>
      <c r="R223" s="232"/>
      <c r="S223"/>
      <c r="T223"/>
      <c r="U223"/>
      <c r="V223"/>
      <c r="W223" s="232"/>
      <c r="Y223"/>
    </row>
    <row r="224" spans="1:25">
      <c r="A224" s="256">
        <v>219</v>
      </c>
      <c r="B224" s="256">
        <v>1</v>
      </c>
      <c r="C224" s="257" t="s">
        <v>23</v>
      </c>
      <c r="D224" s="257" t="s">
        <v>24</v>
      </c>
      <c r="E224" s="257" t="s">
        <v>107</v>
      </c>
      <c r="F224" s="257" t="s">
        <v>133</v>
      </c>
      <c r="G224" s="254"/>
      <c r="P224"/>
      <c r="Q224"/>
      <c r="R224" s="232"/>
      <c r="S224"/>
      <c r="T224"/>
      <c r="U224"/>
      <c r="V224"/>
      <c r="W224" s="232"/>
      <c r="Y224"/>
    </row>
    <row r="225" spans="1:25">
      <c r="A225" s="256">
        <v>220</v>
      </c>
      <c r="B225" s="256">
        <v>1</v>
      </c>
      <c r="C225" s="257" t="s">
        <v>25</v>
      </c>
      <c r="D225" s="257" t="s">
        <v>26</v>
      </c>
      <c r="E225" s="257" t="s">
        <v>119</v>
      </c>
      <c r="F225" s="257" t="s">
        <v>136</v>
      </c>
      <c r="G225" s="254"/>
      <c r="K225"/>
      <c r="L225"/>
      <c r="M225"/>
      <c r="N225"/>
      <c r="O225" s="232"/>
      <c r="P225"/>
      <c r="Q225"/>
      <c r="R225" s="232"/>
      <c r="S225"/>
      <c r="T225"/>
      <c r="U225"/>
      <c r="V225"/>
      <c r="W225" s="232"/>
      <c r="Y225"/>
    </row>
    <row r="226" spans="1:25">
      <c r="A226" s="256">
        <v>221</v>
      </c>
      <c r="B226" s="256">
        <v>1</v>
      </c>
      <c r="C226" s="257" t="s">
        <v>27</v>
      </c>
      <c r="D226" s="257" t="s">
        <v>28</v>
      </c>
      <c r="E226" s="257" t="s">
        <v>119</v>
      </c>
      <c r="F226" s="257" t="s">
        <v>136</v>
      </c>
      <c r="G226" s="254"/>
      <c r="K226"/>
      <c r="L226"/>
      <c r="M226"/>
      <c r="N226"/>
      <c r="O226" s="232"/>
      <c r="P226"/>
      <c r="Q226"/>
      <c r="R226" s="232"/>
      <c r="S226"/>
      <c r="T226"/>
      <c r="U226"/>
      <c r="V226"/>
      <c r="W226" s="232"/>
      <c r="Y226"/>
    </row>
    <row r="227" spans="1:25">
      <c r="A227" s="256">
        <v>222</v>
      </c>
      <c r="B227" s="256">
        <v>1</v>
      </c>
      <c r="C227" s="257" t="s">
        <v>29</v>
      </c>
      <c r="D227" s="257" t="s">
        <v>30</v>
      </c>
      <c r="E227" s="257" t="s">
        <v>119</v>
      </c>
      <c r="F227" s="257" t="s">
        <v>136</v>
      </c>
      <c r="G227" s="254"/>
      <c r="K227"/>
      <c r="L227"/>
      <c r="M227"/>
      <c r="N227"/>
      <c r="O227" s="232"/>
      <c r="P227"/>
      <c r="Q227"/>
      <c r="R227" s="232"/>
      <c r="S227"/>
      <c r="T227"/>
      <c r="U227"/>
      <c r="V227"/>
      <c r="W227" s="232"/>
      <c r="Y227"/>
    </row>
    <row r="228" spans="1:25">
      <c r="A228" s="256">
        <v>223</v>
      </c>
      <c r="B228" s="256">
        <v>1</v>
      </c>
      <c r="C228" s="257" t="s">
        <v>326</v>
      </c>
      <c r="D228" s="257" t="s">
        <v>325</v>
      </c>
      <c r="E228" s="257" t="s">
        <v>127</v>
      </c>
      <c r="F228" s="257" t="s">
        <v>118</v>
      </c>
      <c r="G228" s="254"/>
      <c r="K228"/>
      <c r="L228"/>
      <c r="M228"/>
      <c r="N228"/>
      <c r="O228" s="232"/>
      <c r="P228"/>
      <c r="Q228"/>
      <c r="R228" s="232"/>
      <c r="S228"/>
      <c r="T228"/>
      <c r="U228"/>
      <c r="V228"/>
      <c r="W228" s="232"/>
      <c r="Y228"/>
    </row>
    <row r="229" spans="1:25">
      <c r="A229" s="256">
        <v>224</v>
      </c>
      <c r="B229" s="256">
        <v>1</v>
      </c>
      <c r="C229" s="257" t="s">
        <v>31</v>
      </c>
      <c r="D229" s="257" t="s">
        <v>32</v>
      </c>
      <c r="E229" s="257" t="s">
        <v>119</v>
      </c>
      <c r="F229" s="257" t="s">
        <v>136</v>
      </c>
      <c r="G229" s="254"/>
      <c r="K229"/>
      <c r="L229"/>
      <c r="M229"/>
      <c r="N229"/>
      <c r="O229" s="232"/>
      <c r="P229"/>
      <c r="Q229"/>
      <c r="R229" s="232"/>
      <c r="S229"/>
      <c r="T229"/>
      <c r="U229"/>
      <c r="V229"/>
      <c r="W229" s="232"/>
      <c r="Y229"/>
    </row>
    <row r="230" spans="1:25">
      <c r="A230" s="256">
        <v>225</v>
      </c>
      <c r="B230" s="256">
        <v>1</v>
      </c>
      <c r="C230" s="257" t="s">
        <v>33</v>
      </c>
      <c r="D230" s="257" t="s">
        <v>34</v>
      </c>
      <c r="E230" s="257" t="s">
        <v>107</v>
      </c>
      <c r="F230" s="257" t="s">
        <v>133</v>
      </c>
      <c r="G230" s="254"/>
      <c r="K230"/>
      <c r="L230"/>
      <c r="M230"/>
      <c r="N230"/>
      <c r="O230" s="232"/>
      <c r="P230"/>
      <c r="Q230"/>
      <c r="R230" s="232"/>
      <c r="S230"/>
      <c r="T230"/>
      <c r="U230"/>
      <c r="V230"/>
      <c r="W230" s="232"/>
      <c r="Y230"/>
    </row>
    <row r="231" spans="1:25">
      <c r="A231" s="256">
        <v>226</v>
      </c>
      <c r="B231" s="256">
        <v>1</v>
      </c>
      <c r="C231" s="257" t="s">
        <v>35</v>
      </c>
      <c r="D231" s="257" t="s">
        <v>36</v>
      </c>
      <c r="E231" s="257" t="s">
        <v>107</v>
      </c>
      <c r="F231" s="257" t="s">
        <v>108</v>
      </c>
      <c r="G231" s="254"/>
      <c r="K231"/>
      <c r="L231"/>
      <c r="M231"/>
      <c r="N231"/>
      <c r="O231" s="232"/>
      <c r="P231"/>
      <c r="Q231"/>
      <c r="R231" s="232"/>
      <c r="S231"/>
      <c r="T231"/>
      <c r="U231"/>
      <c r="V231"/>
      <c r="W231" s="232"/>
      <c r="Y231"/>
    </row>
    <row r="232" spans="1:25">
      <c r="A232" s="256">
        <v>227</v>
      </c>
      <c r="B232" s="256">
        <v>1</v>
      </c>
      <c r="C232" s="257" t="s">
        <v>37</v>
      </c>
      <c r="D232" s="257" t="s">
        <v>38</v>
      </c>
      <c r="E232" s="257" t="s">
        <v>111</v>
      </c>
      <c r="F232" s="257" t="s">
        <v>112</v>
      </c>
      <c r="G232" s="254"/>
      <c r="K232"/>
      <c r="L232"/>
      <c r="M232"/>
      <c r="N232"/>
      <c r="O232" s="232"/>
      <c r="P232"/>
      <c r="Q232"/>
      <c r="R232" s="232"/>
      <c r="S232"/>
      <c r="T232"/>
      <c r="U232"/>
      <c r="V232"/>
      <c r="W232" s="232"/>
      <c r="Y232"/>
    </row>
    <row r="233" spans="1:25">
      <c r="A233" s="256">
        <v>228</v>
      </c>
      <c r="B233" s="256">
        <v>1</v>
      </c>
      <c r="C233" s="257" t="s">
        <v>39</v>
      </c>
      <c r="D233" s="257" t="s">
        <v>40</v>
      </c>
      <c r="E233" s="257" t="s">
        <v>115</v>
      </c>
      <c r="F233" s="257" t="s">
        <v>118</v>
      </c>
      <c r="G233" s="254"/>
      <c r="K233"/>
      <c r="L233"/>
      <c r="M233"/>
      <c r="N233"/>
      <c r="O233" s="232"/>
      <c r="P233"/>
      <c r="Q233"/>
      <c r="R233" s="232"/>
      <c r="S233"/>
      <c r="T233"/>
      <c r="U233"/>
      <c r="V233"/>
      <c r="W233" s="232"/>
      <c r="Y233"/>
    </row>
    <row r="234" spans="1:25">
      <c r="A234" s="256">
        <v>229</v>
      </c>
      <c r="B234" s="256">
        <v>1</v>
      </c>
      <c r="C234" s="257" t="s">
        <v>41</v>
      </c>
      <c r="D234" s="257" t="s">
        <v>42</v>
      </c>
      <c r="E234" s="257" t="s">
        <v>119</v>
      </c>
      <c r="F234" s="257" t="s">
        <v>136</v>
      </c>
      <c r="G234" s="254"/>
      <c r="K234"/>
      <c r="L234"/>
      <c r="M234"/>
      <c r="N234"/>
      <c r="O234" s="232"/>
      <c r="P234"/>
      <c r="Q234"/>
      <c r="R234" s="232"/>
      <c r="S234"/>
      <c r="T234"/>
      <c r="U234"/>
      <c r="V234"/>
      <c r="W234" s="232"/>
      <c r="Y234"/>
    </row>
    <row r="235" spans="1:25">
      <c r="A235" s="256">
        <v>230</v>
      </c>
      <c r="B235" s="256">
        <v>1</v>
      </c>
      <c r="C235" s="257" t="s">
        <v>43</v>
      </c>
      <c r="D235" s="257" t="s">
        <v>44</v>
      </c>
      <c r="E235" s="257" t="s">
        <v>119</v>
      </c>
      <c r="F235" s="257" t="s">
        <v>128</v>
      </c>
      <c r="G235" s="254"/>
      <c r="K235"/>
      <c r="L235"/>
      <c r="M235"/>
      <c r="N235"/>
      <c r="O235" s="232"/>
      <c r="P235"/>
      <c r="Q235"/>
      <c r="R235" s="232"/>
      <c r="S235"/>
      <c r="T235"/>
      <c r="U235"/>
      <c r="V235"/>
      <c r="W235" s="232"/>
      <c r="Y235"/>
    </row>
    <row r="236" spans="1:25">
      <c r="A236" s="256">
        <v>231</v>
      </c>
      <c r="B236" s="256">
        <v>1</v>
      </c>
      <c r="C236" s="257" t="s">
        <v>45</v>
      </c>
      <c r="D236" s="257" t="s">
        <v>46</v>
      </c>
      <c r="E236" s="257" t="s">
        <v>115</v>
      </c>
      <c r="F236" s="257" t="s">
        <v>118</v>
      </c>
      <c r="G236" s="254"/>
      <c r="K236"/>
      <c r="L236"/>
      <c r="M236"/>
      <c r="N236"/>
      <c r="O236" s="232"/>
      <c r="P236"/>
      <c r="Q236"/>
      <c r="R236" s="232"/>
      <c r="S236"/>
      <c r="T236"/>
      <c r="U236"/>
      <c r="V236"/>
      <c r="W236" s="232"/>
      <c r="Y236"/>
    </row>
    <row r="237" spans="1:25">
      <c r="A237" s="256">
        <v>232</v>
      </c>
      <c r="B237" s="256">
        <v>1</v>
      </c>
      <c r="C237" s="257" t="s">
        <v>47</v>
      </c>
      <c r="D237" s="257" t="s">
        <v>48</v>
      </c>
      <c r="E237" s="257" t="s">
        <v>115</v>
      </c>
      <c r="F237" s="257" t="s">
        <v>118</v>
      </c>
      <c r="G237" s="254"/>
      <c r="K237"/>
      <c r="L237"/>
      <c r="M237"/>
      <c r="N237"/>
      <c r="O237" s="232"/>
      <c r="P237"/>
      <c r="Q237"/>
      <c r="R237" s="232"/>
      <c r="S237"/>
      <c r="T237"/>
      <c r="U237"/>
      <c r="V237"/>
      <c r="W237" s="232"/>
      <c r="Y237"/>
    </row>
    <row r="238" spans="1:25">
      <c r="A238" s="258">
        <v>160</v>
      </c>
      <c r="B238" s="258">
        <v>1</v>
      </c>
      <c r="C238" s="258" t="s">
        <v>49</v>
      </c>
      <c r="D238" s="258" t="s">
        <v>50</v>
      </c>
      <c r="E238" s="258" t="s">
        <v>127</v>
      </c>
      <c r="F238" s="258" t="s">
        <v>127</v>
      </c>
      <c r="G238" s="254"/>
      <c r="K238"/>
      <c r="L238"/>
      <c r="M238"/>
      <c r="N238"/>
      <c r="O238" s="232"/>
      <c r="P238"/>
      <c r="Q238"/>
      <c r="R238" s="232"/>
      <c r="S238"/>
      <c r="T238"/>
      <c r="U238"/>
      <c r="V238"/>
      <c r="W238" s="232"/>
      <c r="Y238"/>
    </row>
    <row r="239" spans="1:25">
      <c r="B239" s="252"/>
      <c r="G239" s="254"/>
      <c r="K239"/>
      <c r="L239"/>
      <c r="M239"/>
      <c r="N239"/>
      <c r="O239" s="232"/>
      <c r="P239"/>
      <c r="Q239"/>
      <c r="R239" s="232"/>
      <c r="S239"/>
      <c r="T239"/>
      <c r="U239"/>
      <c r="V239"/>
      <c r="W239" s="232"/>
      <c r="Y239"/>
    </row>
    <row r="240" spans="1:25">
      <c r="B240" s="252"/>
      <c r="G240" s="254"/>
      <c r="K240"/>
      <c r="L240"/>
      <c r="M240"/>
      <c r="N240"/>
      <c r="O240" s="232"/>
      <c r="P240"/>
      <c r="Q240"/>
      <c r="R240" s="232"/>
      <c r="S240"/>
      <c r="T240"/>
      <c r="U240"/>
      <c r="V240"/>
      <c r="W240" s="232"/>
      <c r="Y240"/>
    </row>
    <row r="241" spans="2:25">
      <c r="B241" s="252"/>
      <c r="G241" s="254"/>
      <c r="K241"/>
      <c r="L241"/>
      <c r="M241"/>
      <c r="N241"/>
      <c r="O241" s="232"/>
      <c r="P241"/>
      <c r="Q241"/>
      <c r="R241" s="232"/>
      <c r="S241"/>
      <c r="T241"/>
      <c r="U241"/>
      <c r="V241"/>
      <c r="W241" s="232"/>
      <c r="Y241"/>
    </row>
  </sheetData>
  <autoFilter ref="A1:Y197"/>
  <sortState ref="A2:Y197">
    <sortCondition ref="B2:B197"/>
    <sortCondition descending="1" ref="J2:J197"/>
    <sortCondition ref="C2:C197"/>
  </sortState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240"/>
  <sheetViews>
    <sheetView workbookViewId="0">
      <pane xSplit="5600" ySplit="5700" topLeftCell="N184"/>
      <selection sqref="A1:Y197"/>
      <selection pane="topRight" activeCell="G2" sqref="G2:I29"/>
      <selection pane="bottomLeft" activeCell="B192" sqref="B192"/>
      <selection pane="bottomRight" activeCell="G192" sqref="G192:I197"/>
    </sheetView>
  </sheetViews>
  <sheetFormatPr baseColWidth="10" defaultColWidth="8.83203125" defaultRowHeight="14" x14ac:dyDescent="0"/>
  <cols>
    <col min="1" max="1" width="16" customWidth="1"/>
    <col min="2" max="2" width="11" customWidth="1"/>
    <col min="3" max="3" width="10.5" customWidth="1"/>
    <col min="4" max="4" width="22.1640625" customWidth="1"/>
    <col min="5" max="5" width="17.33203125" customWidth="1"/>
    <col min="6" max="6" width="19.83203125" customWidth="1"/>
    <col min="11" max="11" width="25.1640625" style="20" customWidth="1"/>
    <col min="12" max="13" width="9.5" style="20" customWidth="1"/>
    <col min="14" max="14" width="19.5" style="20" customWidth="1"/>
    <col min="15" max="15" width="24.83203125" style="20" customWidth="1"/>
    <col min="16" max="16" width="28.5" style="20" customWidth="1"/>
    <col min="17" max="17" width="18.33203125" style="20" customWidth="1"/>
    <col min="18" max="18" width="17.5" style="20" customWidth="1"/>
    <col min="19" max="19" width="15.1640625" style="20" customWidth="1"/>
    <col min="20" max="20" width="20" style="20" customWidth="1"/>
    <col min="21" max="21" width="15" style="20" customWidth="1"/>
    <col min="22" max="22" width="9.33203125" style="20" customWidth="1"/>
    <col min="23" max="23" width="18.1640625" style="20" customWidth="1"/>
    <col min="24" max="24" width="12.33203125" style="20" customWidth="1"/>
    <col min="25" max="25" width="8.83203125" style="20"/>
    <col min="26" max="49" width="8.83203125" style="25"/>
  </cols>
  <sheetData>
    <row r="1" spans="1:49" s="242" customFormat="1">
      <c r="A1" s="284" t="s">
        <v>100</v>
      </c>
      <c r="B1" s="242" t="s">
        <v>71</v>
      </c>
      <c r="C1" s="250" t="s">
        <v>89</v>
      </c>
      <c r="D1" s="250" t="s">
        <v>88</v>
      </c>
      <c r="E1" s="251" t="s">
        <v>101</v>
      </c>
      <c r="F1" s="251" t="s">
        <v>102</v>
      </c>
      <c r="G1" t="s">
        <v>103</v>
      </c>
      <c r="H1" t="s">
        <v>104</v>
      </c>
      <c r="I1" s="242" t="s">
        <v>105</v>
      </c>
      <c r="J1" s="242" t="s">
        <v>51</v>
      </c>
      <c r="K1" s="285" t="s">
        <v>348</v>
      </c>
      <c r="L1" s="286" t="s">
        <v>187</v>
      </c>
      <c r="M1" s="287" t="s">
        <v>188</v>
      </c>
      <c r="N1" s="288" t="s">
        <v>189</v>
      </c>
      <c r="O1" s="270" t="s">
        <v>53</v>
      </c>
      <c r="P1" s="287" t="s">
        <v>207</v>
      </c>
      <c r="Q1" s="289" t="s">
        <v>214</v>
      </c>
      <c r="R1" s="270" t="s">
        <v>54</v>
      </c>
      <c r="S1" s="290" t="s">
        <v>217</v>
      </c>
      <c r="T1" s="291" t="s">
        <v>198</v>
      </c>
      <c r="U1" s="292" t="s">
        <v>224</v>
      </c>
      <c r="V1" s="293" t="s">
        <v>225</v>
      </c>
      <c r="W1" s="270" t="s">
        <v>55</v>
      </c>
      <c r="X1" s="277" t="s">
        <v>90</v>
      </c>
      <c r="Y1" s="276" t="s">
        <v>57</v>
      </c>
      <c r="Z1" s="342"/>
      <c r="AA1" s="342"/>
      <c r="AB1" s="342"/>
      <c r="AC1" s="343"/>
      <c r="AD1" s="343"/>
      <c r="AE1" s="343"/>
      <c r="AF1" s="343"/>
      <c r="AG1" s="343"/>
      <c r="AH1" s="343"/>
      <c r="AI1" s="343"/>
      <c r="AJ1" s="343"/>
      <c r="AK1" s="343"/>
      <c r="AL1" s="343"/>
      <c r="AM1" s="343"/>
      <c r="AN1" s="343"/>
      <c r="AO1" s="343"/>
      <c r="AP1" s="343"/>
      <c r="AQ1" s="343"/>
      <c r="AR1" s="343"/>
      <c r="AS1" s="343"/>
      <c r="AT1" s="343"/>
      <c r="AU1" s="343"/>
      <c r="AV1" s="343"/>
      <c r="AW1" s="343"/>
    </row>
    <row r="2" spans="1:49" s="281" customFormat="1">
      <c r="A2" s="281">
        <v>4</v>
      </c>
      <c r="B2" s="281">
        <v>0</v>
      </c>
      <c r="C2" s="282" t="s">
        <v>565</v>
      </c>
      <c r="D2" s="282" t="s">
        <v>564</v>
      </c>
      <c r="E2" s="282" t="s">
        <v>111</v>
      </c>
      <c r="F2" s="282" t="s">
        <v>112</v>
      </c>
      <c r="G2" s="355">
        <v>1</v>
      </c>
      <c r="H2" s="355">
        <v>2</v>
      </c>
      <c r="I2" s="281">
        <v>0</v>
      </c>
      <c r="J2" s="281">
        <v>1</v>
      </c>
      <c r="K2" s="306">
        <v>7.0846242258540908</v>
      </c>
      <c r="L2" s="306">
        <v>3.9285714285714284</v>
      </c>
      <c r="M2" s="306">
        <v>3.6583160312040386</v>
      </c>
      <c r="N2" s="306">
        <v>6.1134201103369445</v>
      </c>
      <c r="O2" s="307">
        <v>27</v>
      </c>
      <c r="P2" s="306">
        <v>7.424884297520661</v>
      </c>
      <c r="Q2" s="306">
        <v>1</v>
      </c>
      <c r="R2" s="307">
        <v>27</v>
      </c>
      <c r="S2" s="306">
        <v>1</v>
      </c>
      <c r="T2" s="306">
        <v>4.224764756201882</v>
      </c>
      <c r="U2" s="306">
        <v>7.1428571428571432</v>
      </c>
      <c r="V2" s="306">
        <v>5.7142857142857135</v>
      </c>
      <c r="W2" s="307">
        <v>27</v>
      </c>
      <c r="X2" s="309">
        <v>81</v>
      </c>
      <c r="Y2" s="283">
        <f t="shared" ref="Y2:Y33" si="0">(((AVERAGE(K2:N2)+AVERAGE(Q2+AVERAGE(S2:V2)))))</f>
        <v>10.71670985232781</v>
      </c>
      <c r="Z2" s="25"/>
      <c r="AA2" s="25"/>
      <c r="AB2" s="25"/>
      <c r="AC2" s="25"/>
      <c r="AD2" s="25"/>
      <c r="AE2" s="25"/>
      <c r="AF2" s="25"/>
      <c r="AG2" s="25"/>
      <c r="AH2" s="25"/>
      <c r="AI2" s="25"/>
      <c r="AJ2" s="25"/>
      <c r="AK2" s="25"/>
      <c r="AL2" s="25"/>
      <c r="AM2" s="25"/>
      <c r="AN2" s="25"/>
      <c r="AO2" s="25"/>
      <c r="AP2" s="25"/>
      <c r="AQ2" s="25"/>
      <c r="AR2" s="25"/>
      <c r="AS2" s="25"/>
      <c r="AT2" s="25"/>
      <c r="AU2" s="25"/>
      <c r="AV2" s="25"/>
      <c r="AW2" s="25"/>
    </row>
    <row r="3" spans="1:49" s="281" customFormat="1">
      <c r="A3" s="281">
        <v>9</v>
      </c>
      <c r="B3" s="281">
        <v>0</v>
      </c>
      <c r="C3" s="282" t="s">
        <v>525</v>
      </c>
      <c r="D3" s="282" t="s">
        <v>524</v>
      </c>
      <c r="E3" s="282" t="s">
        <v>119</v>
      </c>
      <c r="F3" s="282" t="s">
        <v>120</v>
      </c>
      <c r="G3" s="355">
        <v>1</v>
      </c>
      <c r="H3" s="355">
        <v>2</v>
      </c>
      <c r="I3" s="281">
        <v>1</v>
      </c>
      <c r="J3" s="281">
        <v>1</v>
      </c>
      <c r="K3" s="306">
        <v>8.4296765509618066</v>
      </c>
      <c r="L3" s="306">
        <v>9.20969387755102</v>
      </c>
      <c r="M3" s="306">
        <v>3.8721928836213202</v>
      </c>
      <c r="N3" s="306">
        <v>7.8117338734257604</v>
      </c>
      <c r="O3" s="307">
        <v>6</v>
      </c>
      <c r="P3" s="306">
        <v>6.519194214876034</v>
      </c>
      <c r="Q3" s="306">
        <v>9.2666487498550616</v>
      </c>
      <c r="R3" s="308">
        <v>11</v>
      </c>
      <c r="S3" s="306">
        <v>4.3764004525620344</v>
      </c>
      <c r="T3" s="306">
        <v>6.5358364902847361</v>
      </c>
      <c r="U3" s="306">
        <v>9.8979591836734695</v>
      </c>
      <c r="V3" s="306">
        <v>9.591836734693878</v>
      </c>
      <c r="W3" s="307">
        <v>9</v>
      </c>
      <c r="X3" s="309">
        <v>26</v>
      </c>
      <c r="Y3" s="283">
        <f t="shared" si="0"/>
        <v>24.19798126154857</v>
      </c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5"/>
      <c r="AR3" s="25"/>
      <c r="AS3" s="25"/>
      <c r="AT3" s="25"/>
      <c r="AU3" s="25"/>
      <c r="AV3" s="25"/>
      <c r="AW3" s="25"/>
    </row>
    <row r="4" spans="1:49" s="281" customFormat="1">
      <c r="A4" s="281">
        <v>10</v>
      </c>
      <c r="B4" s="281">
        <v>0</v>
      </c>
      <c r="C4" s="282" t="s">
        <v>535</v>
      </c>
      <c r="D4" s="282" t="s">
        <v>534</v>
      </c>
      <c r="E4" s="282" t="s">
        <v>111</v>
      </c>
      <c r="F4" s="282" t="s">
        <v>112</v>
      </c>
      <c r="G4" s="355">
        <v>1</v>
      </c>
      <c r="H4" s="355">
        <v>2</v>
      </c>
      <c r="I4" s="281">
        <v>1</v>
      </c>
      <c r="J4" s="281">
        <v>1</v>
      </c>
      <c r="K4" s="306">
        <v>8.4871159325102496</v>
      </c>
      <c r="L4" s="306">
        <v>8.8969387755102041</v>
      </c>
      <c r="M4" s="306">
        <v>5.1036001616967841</v>
      </c>
      <c r="N4" s="306">
        <v>6.4690849698179687</v>
      </c>
      <c r="O4" s="307">
        <v>11</v>
      </c>
      <c r="P4" s="306">
        <v>7.4035743801652893</v>
      </c>
      <c r="Q4" s="306">
        <v>8.1220376900262981</v>
      </c>
      <c r="R4" s="307">
        <v>14</v>
      </c>
      <c r="S4" s="306">
        <v>5.5191482422683693</v>
      </c>
      <c r="T4" s="306">
        <v>7.16573994867408</v>
      </c>
      <c r="U4" s="306">
        <v>9.1428571428571441</v>
      </c>
      <c r="V4" s="306">
        <v>8.3061224489795933</v>
      </c>
      <c r="W4" s="308">
        <v>10</v>
      </c>
      <c r="X4" s="309">
        <v>35</v>
      </c>
      <c r="Y4" s="283">
        <f t="shared" si="0"/>
        <v>22.894689595604895</v>
      </c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5"/>
      <c r="AS4" s="25"/>
      <c r="AT4" s="25"/>
      <c r="AU4" s="25"/>
      <c r="AV4" s="25"/>
      <c r="AW4" s="25"/>
    </row>
    <row r="5" spans="1:49" s="281" customFormat="1">
      <c r="A5" s="281">
        <v>13</v>
      </c>
      <c r="B5" s="281">
        <v>0</v>
      </c>
      <c r="C5" s="282" t="s">
        <v>553</v>
      </c>
      <c r="D5" s="282" t="s">
        <v>552</v>
      </c>
      <c r="E5" s="282" t="s">
        <v>111</v>
      </c>
      <c r="F5" s="282" t="s">
        <v>112</v>
      </c>
      <c r="G5" s="355">
        <v>1</v>
      </c>
      <c r="H5" s="355">
        <v>2</v>
      </c>
      <c r="I5" s="281">
        <v>1</v>
      </c>
      <c r="J5" s="281">
        <v>1</v>
      </c>
      <c r="K5" s="306">
        <v>7.9403518848482246</v>
      </c>
      <c r="L5" s="306">
        <v>8.65</v>
      </c>
      <c r="M5" s="306">
        <v>4.588403889323712</v>
      </c>
      <c r="N5" s="306">
        <v>6.2823592346138968</v>
      </c>
      <c r="O5" s="307">
        <v>16</v>
      </c>
      <c r="P5" s="306">
        <v>7.3686342975206607</v>
      </c>
      <c r="Q5" s="306">
        <v>8.2148637869021783</v>
      </c>
      <c r="R5" s="307">
        <v>13</v>
      </c>
      <c r="S5" s="306">
        <v>5.7930474334580806</v>
      </c>
      <c r="T5" s="306">
        <v>8.0969489592244077</v>
      </c>
      <c r="U5" s="306">
        <v>8.0476190476190474</v>
      </c>
      <c r="V5" s="306">
        <v>6.5238095238095237</v>
      </c>
      <c r="W5" s="307">
        <v>15</v>
      </c>
      <c r="X5" s="309">
        <v>44</v>
      </c>
      <c r="Y5" s="283">
        <f t="shared" si="0"/>
        <v>22.1954987801264</v>
      </c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5"/>
      <c r="AS5" s="25"/>
      <c r="AT5" s="25"/>
      <c r="AU5" s="25"/>
      <c r="AV5" s="25"/>
      <c r="AW5" s="25"/>
    </row>
    <row r="6" spans="1:49" s="281" customFormat="1">
      <c r="A6" s="281">
        <v>30</v>
      </c>
      <c r="B6" s="281">
        <v>0</v>
      </c>
      <c r="C6" s="282" t="s">
        <v>541</v>
      </c>
      <c r="D6" s="282" t="s">
        <v>540</v>
      </c>
      <c r="E6" s="282" t="s">
        <v>127</v>
      </c>
      <c r="F6" s="282" t="s">
        <v>127</v>
      </c>
      <c r="G6" s="355">
        <v>1</v>
      </c>
      <c r="H6" s="355">
        <v>2</v>
      </c>
      <c r="I6" s="281">
        <v>1</v>
      </c>
      <c r="J6" s="281">
        <v>1</v>
      </c>
      <c r="K6" s="306">
        <v>8.5590069217185487</v>
      </c>
      <c r="L6" s="306">
        <v>9.2926020408163268</v>
      </c>
      <c r="M6" s="306">
        <v>2.946625009676004</v>
      </c>
      <c r="N6" s="306">
        <v>8.3626814850394098</v>
      </c>
      <c r="O6" s="307">
        <v>8</v>
      </c>
      <c r="P6" s="306">
        <v>7.2741342975206607</v>
      </c>
      <c r="Q6" s="306">
        <v>9.0492967270633802</v>
      </c>
      <c r="R6" s="307">
        <v>7</v>
      </c>
      <c r="S6" s="306">
        <v>4.758185442441035</v>
      </c>
      <c r="T6" s="306">
        <v>6.4207656116338745</v>
      </c>
      <c r="U6" s="306">
        <v>5.5867346938775508</v>
      </c>
      <c r="V6" s="306">
        <v>8.7755102040816322</v>
      </c>
      <c r="W6" s="307">
        <v>24</v>
      </c>
      <c r="X6" s="309">
        <v>39</v>
      </c>
      <c r="Y6" s="283">
        <f t="shared" si="0"/>
        <v>22.724824579384475</v>
      </c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</row>
    <row r="7" spans="1:49" s="281" customFormat="1">
      <c r="A7" s="281">
        <v>31</v>
      </c>
      <c r="B7" s="281">
        <v>0</v>
      </c>
      <c r="C7" s="282" t="s">
        <v>511</v>
      </c>
      <c r="D7" s="282" t="s">
        <v>510</v>
      </c>
      <c r="E7" s="282" t="s">
        <v>111</v>
      </c>
      <c r="F7" s="282" t="s">
        <v>112</v>
      </c>
      <c r="G7" s="355">
        <v>1</v>
      </c>
      <c r="H7" s="355">
        <v>2</v>
      </c>
      <c r="I7" s="281">
        <v>1</v>
      </c>
      <c r="J7" s="281">
        <v>1</v>
      </c>
      <c r="K7" s="306">
        <v>9.3066118757035561</v>
      </c>
      <c r="L7" s="306">
        <v>9.5</v>
      </c>
      <c r="M7" s="306">
        <v>4.5640664160939908</v>
      </c>
      <c r="N7" s="306">
        <v>6.7077274361921351</v>
      </c>
      <c r="O7" s="307">
        <v>4</v>
      </c>
      <c r="P7" s="306">
        <v>7.5263946280991734</v>
      </c>
      <c r="Q7" s="306">
        <v>8.9448700162263179</v>
      </c>
      <c r="R7" s="308">
        <v>4</v>
      </c>
      <c r="S7" s="306">
        <v>5.8417654965081338</v>
      </c>
      <c r="T7" s="306">
        <v>6.718990590248076</v>
      </c>
      <c r="U7" s="306">
        <v>9.5555555555555554</v>
      </c>
      <c r="V7" s="306">
        <v>9.1904761904761916</v>
      </c>
      <c r="W7" s="308">
        <v>5</v>
      </c>
      <c r="X7" s="309">
        <v>13</v>
      </c>
      <c r="Y7" s="283">
        <f t="shared" si="0"/>
        <v>24.291168406420731</v>
      </c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25"/>
      <c r="AS7" s="25"/>
      <c r="AT7" s="25"/>
      <c r="AU7" s="25"/>
      <c r="AV7" s="25"/>
      <c r="AW7" s="25"/>
    </row>
    <row r="8" spans="1:49" s="281" customFormat="1">
      <c r="A8" s="281">
        <v>43</v>
      </c>
      <c r="B8" s="281">
        <v>0</v>
      </c>
      <c r="C8" s="282" t="s">
        <v>555</v>
      </c>
      <c r="D8" s="282" t="s">
        <v>554</v>
      </c>
      <c r="E8" s="282" t="s">
        <v>111</v>
      </c>
      <c r="F8" s="282" t="s">
        <v>110</v>
      </c>
      <c r="G8" s="355">
        <v>1</v>
      </c>
      <c r="H8" s="355">
        <v>2</v>
      </c>
      <c r="I8" s="281">
        <v>0</v>
      </c>
      <c r="J8" s="281">
        <v>1</v>
      </c>
      <c r="K8" s="306">
        <v>8.3720133523318481</v>
      </c>
      <c r="L8" s="306">
        <v>7.4857142857142858</v>
      </c>
      <c r="M8" s="306">
        <v>3.2238715628682257</v>
      </c>
      <c r="N8" s="306">
        <v>6.5772933784535237</v>
      </c>
      <c r="O8" s="307">
        <v>24</v>
      </c>
      <c r="P8" s="306">
        <v>7.4250144628099175</v>
      </c>
      <c r="Q8" s="306">
        <v>8.0847946250423703</v>
      </c>
      <c r="R8" s="308">
        <v>15</v>
      </c>
      <c r="S8" s="306">
        <v>4.5099942312185206</v>
      </c>
      <c r="T8" s="306">
        <v>5.414456800684345</v>
      </c>
      <c r="U8" s="306">
        <v>7.8571428571428568</v>
      </c>
      <c r="V8" s="306">
        <v>8.2142857142857135</v>
      </c>
      <c r="W8" s="307">
        <v>21</v>
      </c>
      <c r="X8" s="309">
        <v>60</v>
      </c>
      <c r="Y8" s="283">
        <f t="shared" si="0"/>
        <v>20.998487670717203</v>
      </c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</row>
    <row r="9" spans="1:49" s="281" customFormat="1">
      <c r="A9" s="281">
        <v>45</v>
      </c>
      <c r="B9" s="281">
        <v>0</v>
      </c>
      <c r="C9" s="282" t="s">
        <v>523</v>
      </c>
      <c r="D9" s="282" t="s">
        <v>522</v>
      </c>
      <c r="E9" s="282" t="s">
        <v>111</v>
      </c>
      <c r="F9" s="282" t="s">
        <v>112</v>
      </c>
      <c r="G9" s="355">
        <v>1</v>
      </c>
      <c r="H9" s="355">
        <v>2</v>
      </c>
      <c r="I9" s="281">
        <v>1</v>
      </c>
      <c r="J9" s="281">
        <v>1</v>
      </c>
      <c r="K9" s="306">
        <v>7.3992540214451026</v>
      </c>
      <c r="L9" s="306">
        <v>8.9499999999999993</v>
      </c>
      <c r="M9" s="306">
        <v>5.2108288035298065</v>
      </c>
      <c r="N9" s="306">
        <v>6.4539516144313129</v>
      </c>
      <c r="O9" s="307">
        <v>14</v>
      </c>
      <c r="P9" s="306">
        <v>7.2966342975206615</v>
      </c>
      <c r="Q9" s="306">
        <v>8.0504411648871681</v>
      </c>
      <c r="R9" s="307">
        <v>18</v>
      </c>
      <c r="S9" s="306">
        <v>5.9178548293825672</v>
      </c>
      <c r="T9" s="306">
        <v>8.4691331622469352</v>
      </c>
      <c r="U9" s="306">
        <v>9.1904761904761916</v>
      </c>
      <c r="V9" s="306">
        <v>8.1904761904761898</v>
      </c>
      <c r="W9" s="307">
        <v>2</v>
      </c>
      <c r="X9" s="309">
        <v>34</v>
      </c>
      <c r="Y9" s="283">
        <f t="shared" si="0"/>
        <v>22.995934867884195</v>
      </c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5"/>
      <c r="AS9" s="25"/>
      <c r="AT9" s="25"/>
      <c r="AU9" s="25"/>
      <c r="AV9" s="25"/>
      <c r="AW9" s="25"/>
    </row>
    <row r="10" spans="1:49" s="281" customFormat="1">
      <c r="A10" s="281">
        <v>48</v>
      </c>
      <c r="B10" s="281">
        <v>0</v>
      </c>
      <c r="C10" s="282" t="s">
        <v>537</v>
      </c>
      <c r="D10" s="282" t="s">
        <v>536</v>
      </c>
      <c r="E10" s="282" t="s">
        <v>111</v>
      </c>
      <c r="F10" s="282" t="s">
        <v>112</v>
      </c>
      <c r="G10" s="355">
        <v>1</v>
      </c>
      <c r="H10" s="355">
        <v>2</v>
      </c>
      <c r="I10" s="281">
        <v>1</v>
      </c>
      <c r="J10" s="281">
        <v>1</v>
      </c>
      <c r="K10" s="306">
        <v>8.734526772419688</v>
      </c>
      <c r="L10" s="306">
        <v>9.65</v>
      </c>
      <c r="M10" s="306">
        <v>3.7681242312952081</v>
      </c>
      <c r="N10" s="306">
        <v>6.8649407389104411</v>
      </c>
      <c r="O10" s="307">
        <v>10</v>
      </c>
      <c r="P10" s="306">
        <v>7.5895247933884296</v>
      </c>
      <c r="Q10" s="306">
        <v>8.9674913509283556</v>
      </c>
      <c r="R10" s="307">
        <v>3</v>
      </c>
      <c r="S10" s="306">
        <v>5.4794884829996908</v>
      </c>
      <c r="T10" s="306">
        <v>5.3094881665240941</v>
      </c>
      <c r="U10" s="306">
        <v>8.0357142857142865</v>
      </c>
      <c r="V10" s="306">
        <v>7.3214285714285712</v>
      </c>
      <c r="W10" s="307">
        <v>20</v>
      </c>
      <c r="X10" s="309">
        <v>33</v>
      </c>
      <c r="Y10" s="283">
        <f t="shared" si="0"/>
        <v>22.75841916325135</v>
      </c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5"/>
      <c r="AL10" s="25"/>
      <c r="AM10" s="25"/>
      <c r="AN10" s="25"/>
      <c r="AO10" s="25"/>
      <c r="AP10" s="25"/>
      <c r="AQ10" s="25"/>
      <c r="AR10" s="25"/>
      <c r="AS10" s="25"/>
      <c r="AT10" s="25"/>
      <c r="AU10" s="25"/>
      <c r="AV10" s="25"/>
      <c r="AW10" s="25"/>
    </row>
    <row r="11" spans="1:49" s="281" customFormat="1">
      <c r="A11" s="281">
        <v>54</v>
      </c>
      <c r="B11" s="281">
        <v>0</v>
      </c>
      <c r="C11" s="282" t="s">
        <v>527</v>
      </c>
      <c r="D11" s="282" t="s">
        <v>526</v>
      </c>
      <c r="E11" s="282" t="s">
        <v>111</v>
      </c>
      <c r="F11" s="282" t="s">
        <v>112</v>
      </c>
      <c r="G11" s="355">
        <v>1</v>
      </c>
      <c r="H11" s="355">
        <v>2</v>
      </c>
      <c r="I11" s="281">
        <v>1</v>
      </c>
      <c r="J11" s="281">
        <v>1</v>
      </c>
      <c r="K11" s="306">
        <v>8.0928272600341948</v>
      </c>
      <c r="L11" s="306">
        <v>8.0714285714285712</v>
      </c>
      <c r="M11" s="306">
        <v>3.5050754083273841</v>
      </c>
      <c r="N11" s="306">
        <v>6.9226453322685781</v>
      </c>
      <c r="O11" s="307">
        <v>19</v>
      </c>
      <c r="P11" s="306">
        <v>7.6656157024793385</v>
      </c>
      <c r="Q11" s="306">
        <v>8.0092186856896692</v>
      </c>
      <c r="R11" s="307">
        <v>12</v>
      </c>
      <c r="S11" s="306">
        <v>5.5231380092924018</v>
      </c>
      <c r="T11" s="306">
        <v>9.2246425516314297</v>
      </c>
      <c r="U11" s="306">
        <v>8.2755102040816322</v>
      </c>
      <c r="V11" s="306">
        <v>8.7040816326530628</v>
      </c>
      <c r="W11" s="317">
        <v>3</v>
      </c>
      <c r="X11" s="309">
        <v>34</v>
      </c>
      <c r="Y11" s="283">
        <f t="shared" si="0"/>
        <v>22.589055928118984</v>
      </c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5"/>
      <c r="AV11" s="25"/>
      <c r="AW11" s="25"/>
    </row>
    <row r="12" spans="1:49" s="281" customFormat="1">
      <c r="A12" s="281">
        <v>57</v>
      </c>
      <c r="B12" s="281">
        <v>0</v>
      </c>
      <c r="C12" s="282" t="s">
        <v>519</v>
      </c>
      <c r="D12" s="282" t="s">
        <v>518</v>
      </c>
      <c r="E12" s="282" t="s">
        <v>111</v>
      </c>
      <c r="F12" s="282" t="s">
        <v>112</v>
      </c>
      <c r="G12" s="355">
        <v>1</v>
      </c>
      <c r="H12" s="355">
        <v>2</v>
      </c>
      <c r="I12" s="281">
        <v>1</v>
      </c>
      <c r="J12" s="281">
        <v>1</v>
      </c>
      <c r="K12" s="306">
        <v>6.3991549990055443</v>
      </c>
      <c r="L12" s="306">
        <v>9.5</v>
      </c>
      <c r="M12" s="306">
        <v>4.6820265853595595</v>
      </c>
      <c r="N12" s="306">
        <v>6.7699242714999741</v>
      </c>
      <c r="O12" s="307">
        <v>17</v>
      </c>
      <c r="P12" s="306">
        <v>7.3911342975206615</v>
      </c>
      <c r="Q12" s="306">
        <v>8.4513087063931174</v>
      </c>
      <c r="R12" s="307">
        <v>10</v>
      </c>
      <c r="S12" s="306">
        <v>5.1697836920549731</v>
      </c>
      <c r="T12" s="306">
        <v>6.0444824636441394</v>
      </c>
      <c r="U12" s="306">
        <v>9.5714285714285712</v>
      </c>
      <c r="V12" s="306">
        <v>9</v>
      </c>
      <c r="W12" s="307">
        <v>11</v>
      </c>
      <c r="X12" s="309">
        <v>38</v>
      </c>
      <c r="Y12" s="283">
        <f t="shared" si="0"/>
        <v>22.735508852141308</v>
      </c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5"/>
      <c r="AS12" s="25"/>
      <c r="AT12" s="25"/>
      <c r="AU12" s="25"/>
      <c r="AV12" s="25"/>
      <c r="AW12" s="25"/>
    </row>
    <row r="13" spans="1:49" s="281" customFormat="1">
      <c r="A13" s="281">
        <v>59</v>
      </c>
      <c r="B13" s="281">
        <v>0</v>
      </c>
      <c r="C13" s="282" t="s">
        <v>543</v>
      </c>
      <c r="D13" s="282" t="s">
        <v>542</v>
      </c>
      <c r="E13" s="282" t="s">
        <v>111</v>
      </c>
      <c r="F13" s="282" t="s">
        <v>112</v>
      </c>
      <c r="G13" s="355">
        <v>1</v>
      </c>
      <c r="H13" s="355">
        <v>2</v>
      </c>
      <c r="I13" s="281">
        <v>1</v>
      </c>
      <c r="J13" s="281">
        <v>1</v>
      </c>
      <c r="K13" s="306">
        <v>8.6932793016390857</v>
      </c>
      <c r="L13" s="306">
        <v>8.3887755102040824</v>
      </c>
      <c r="M13" s="306">
        <v>4.8704240670181562</v>
      </c>
      <c r="N13" s="306">
        <v>6.8618395360580493</v>
      </c>
      <c r="O13" s="307">
        <v>12</v>
      </c>
      <c r="P13" s="306">
        <v>7.3857045454545451</v>
      </c>
      <c r="Q13" s="306">
        <v>7.3304758017298637</v>
      </c>
      <c r="R13" s="307">
        <v>23</v>
      </c>
      <c r="S13" s="306">
        <v>5.6535079388135925</v>
      </c>
      <c r="T13" s="306">
        <v>9.9285714285714288</v>
      </c>
      <c r="U13" s="306">
        <v>9.0918367346938762</v>
      </c>
      <c r="V13" s="306">
        <v>8.6224489795918373</v>
      </c>
      <c r="W13" s="317">
        <v>1</v>
      </c>
      <c r="X13" s="309">
        <v>36</v>
      </c>
      <c r="Y13" s="283">
        <f t="shared" si="0"/>
        <v>22.858146675877389</v>
      </c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  <c r="AR13" s="25"/>
      <c r="AS13" s="25"/>
      <c r="AT13" s="25"/>
      <c r="AU13" s="25"/>
      <c r="AV13" s="25"/>
      <c r="AW13" s="25"/>
    </row>
    <row r="14" spans="1:49" s="281" customFormat="1">
      <c r="A14" s="281">
        <v>62</v>
      </c>
      <c r="B14" s="281">
        <v>0</v>
      </c>
      <c r="C14" s="282" t="s">
        <v>521</v>
      </c>
      <c r="D14" s="282" t="s">
        <v>520</v>
      </c>
      <c r="E14" s="282" t="s">
        <v>111</v>
      </c>
      <c r="F14" s="282" t="s">
        <v>112</v>
      </c>
      <c r="G14" s="355">
        <v>1</v>
      </c>
      <c r="H14" s="355">
        <v>2</v>
      </c>
      <c r="I14" s="281">
        <v>1</v>
      </c>
      <c r="J14" s="281">
        <v>1</v>
      </c>
      <c r="K14" s="306">
        <v>8.6415054901498163</v>
      </c>
      <c r="L14" s="306">
        <v>8.7734693877551013</v>
      </c>
      <c r="M14" s="306">
        <v>3.8293410856046854</v>
      </c>
      <c r="N14" s="306">
        <v>7.0166674177287316</v>
      </c>
      <c r="O14" s="307">
        <v>13</v>
      </c>
      <c r="P14" s="306">
        <v>7.4476446280991739</v>
      </c>
      <c r="Q14" s="306">
        <v>8.9000926180471946</v>
      </c>
      <c r="R14" s="317">
        <v>6</v>
      </c>
      <c r="S14" s="306">
        <v>5.7130256548577885</v>
      </c>
      <c r="T14" s="306">
        <v>8.057321581327141</v>
      </c>
      <c r="U14" s="306">
        <v>8.9795918367346932</v>
      </c>
      <c r="V14" s="306">
        <v>8.5076530612244898</v>
      </c>
      <c r="W14" s="307">
        <v>6</v>
      </c>
      <c r="X14" s="309">
        <v>25</v>
      </c>
      <c r="Y14" s="283">
        <f t="shared" si="0"/>
        <v>23.779736496892806</v>
      </c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5"/>
      <c r="AL14" s="25"/>
      <c r="AM14" s="25"/>
      <c r="AN14" s="25"/>
      <c r="AO14" s="25"/>
      <c r="AP14" s="25"/>
      <c r="AQ14" s="25"/>
      <c r="AR14" s="25"/>
      <c r="AS14" s="25"/>
      <c r="AT14" s="25"/>
      <c r="AU14" s="25"/>
      <c r="AV14" s="25"/>
      <c r="AW14" s="25"/>
    </row>
    <row r="15" spans="1:49" s="281" customFormat="1">
      <c r="A15" s="281">
        <v>69</v>
      </c>
      <c r="B15" s="281">
        <v>0</v>
      </c>
      <c r="C15" s="282" t="s">
        <v>559</v>
      </c>
      <c r="D15" s="282" t="s">
        <v>558</v>
      </c>
      <c r="E15" s="282" t="s">
        <v>111</v>
      </c>
      <c r="F15" s="282" t="s">
        <v>112</v>
      </c>
      <c r="G15" s="355">
        <v>1</v>
      </c>
      <c r="H15" s="355">
        <v>2</v>
      </c>
      <c r="I15" s="281">
        <v>1</v>
      </c>
      <c r="J15" s="281">
        <v>1</v>
      </c>
      <c r="K15" s="306">
        <v>7.1090961188539437</v>
      </c>
      <c r="L15" s="306">
        <v>7.0948979591836725</v>
      </c>
      <c r="M15" s="306">
        <v>4.7959952738094209</v>
      </c>
      <c r="N15" s="306">
        <v>6.6667011204177893</v>
      </c>
      <c r="O15" s="307">
        <v>23</v>
      </c>
      <c r="P15" s="306">
        <v>7.5064049586776864</v>
      </c>
      <c r="Q15" s="306">
        <v>7.0856613139918094</v>
      </c>
      <c r="R15" s="307">
        <v>25</v>
      </c>
      <c r="S15" s="306">
        <v>4.4428043588619843</v>
      </c>
      <c r="T15" s="306">
        <v>6.7120860320175977</v>
      </c>
      <c r="U15" s="306">
        <v>7.5510204081632644</v>
      </c>
      <c r="V15" s="306">
        <v>8.0612244897959169</v>
      </c>
      <c r="W15" s="307">
        <v>19</v>
      </c>
      <c r="X15" s="309">
        <v>67</v>
      </c>
      <c r="Y15" s="283">
        <f t="shared" si="0"/>
        <v>20.194117754267708</v>
      </c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5"/>
      <c r="AS15" s="25"/>
      <c r="AT15" s="25"/>
      <c r="AU15" s="25"/>
      <c r="AV15" s="25"/>
      <c r="AW15" s="25"/>
    </row>
    <row r="16" spans="1:49" s="281" customFormat="1">
      <c r="A16" s="281">
        <v>79</v>
      </c>
      <c r="B16" s="281">
        <v>0</v>
      </c>
      <c r="C16" s="282" t="s">
        <v>529</v>
      </c>
      <c r="D16" s="282" t="s">
        <v>528</v>
      </c>
      <c r="E16" s="282" t="s">
        <v>111</v>
      </c>
      <c r="F16" s="282" t="s">
        <v>112</v>
      </c>
      <c r="G16" s="355">
        <v>1</v>
      </c>
      <c r="H16" s="355">
        <v>2</v>
      </c>
      <c r="I16" s="281">
        <v>0</v>
      </c>
      <c r="J16" s="281">
        <v>1</v>
      </c>
      <c r="K16" s="306">
        <v>8.5507769537385396</v>
      </c>
      <c r="L16" s="306">
        <v>8.7989795918367353</v>
      </c>
      <c r="M16" s="306">
        <v>4.1192083738292036</v>
      </c>
      <c r="N16" s="306">
        <v>6.5117283144696856</v>
      </c>
      <c r="O16" s="307">
        <v>15</v>
      </c>
      <c r="P16" s="306">
        <v>8.0909958677685943</v>
      </c>
      <c r="Q16" s="306">
        <v>9.2226852246276181</v>
      </c>
      <c r="R16" s="307">
        <v>2</v>
      </c>
      <c r="S16" s="306">
        <v>4.8666956977901101</v>
      </c>
      <c r="T16" s="306">
        <v>5.3974703653916647</v>
      </c>
      <c r="U16" s="306">
        <v>8.4693877551020407</v>
      </c>
      <c r="V16" s="306">
        <v>8.8775510204081627</v>
      </c>
      <c r="W16" s="317">
        <v>16</v>
      </c>
      <c r="X16" s="309">
        <v>33</v>
      </c>
      <c r="Y16" s="283">
        <f t="shared" si="0"/>
        <v>23.120634742769152</v>
      </c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</row>
    <row r="17" spans="1:49" s="281" customFormat="1">
      <c r="A17" s="281">
        <v>82</v>
      </c>
      <c r="B17" s="281">
        <v>0</v>
      </c>
      <c r="C17" s="282" t="s">
        <v>513</v>
      </c>
      <c r="D17" s="282" t="s">
        <v>512</v>
      </c>
      <c r="E17" s="282" t="s">
        <v>111</v>
      </c>
      <c r="F17" s="282" t="s">
        <v>112</v>
      </c>
      <c r="G17" s="355">
        <v>1</v>
      </c>
      <c r="H17" s="355">
        <v>2</v>
      </c>
      <c r="I17" s="281">
        <v>1</v>
      </c>
      <c r="J17" s="281">
        <v>1</v>
      </c>
      <c r="K17" s="306">
        <v>9.0821778206732624</v>
      </c>
      <c r="L17" s="306">
        <v>9.4499999999999993</v>
      </c>
      <c r="M17" s="306">
        <v>4.4094761841279126</v>
      </c>
      <c r="N17" s="306">
        <v>7.5548409968565498</v>
      </c>
      <c r="O17" s="307">
        <v>3</v>
      </c>
      <c r="P17" s="306">
        <v>8.839297520661157</v>
      </c>
      <c r="Q17" s="306">
        <v>8.5935836601767193</v>
      </c>
      <c r="R17" s="307">
        <v>1</v>
      </c>
      <c r="S17" s="306">
        <v>6.9001795055656352</v>
      </c>
      <c r="T17" s="306">
        <v>4.7232142857142856</v>
      </c>
      <c r="U17" s="306">
        <v>9.5535714285714288</v>
      </c>
      <c r="V17" s="306">
        <v>9.6428571428571423</v>
      </c>
      <c r="W17" s="317">
        <v>7</v>
      </c>
      <c r="X17" s="309">
        <v>11</v>
      </c>
      <c r="Y17" s="283">
        <f t="shared" si="0"/>
        <v>23.922663001268273</v>
      </c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5"/>
      <c r="AL17" s="25"/>
      <c r="AM17" s="25"/>
      <c r="AN17" s="25"/>
      <c r="AO17" s="25"/>
      <c r="AP17" s="25"/>
      <c r="AQ17" s="25"/>
      <c r="AR17" s="25"/>
      <c r="AS17" s="25"/>
      <c r="AT17" s="25"/>
      <c r="AU17" s="25"/>
      <c r="AV17" s="25"/>
      <c r="AW17" s="25"/>
    </row>
    <row r="18" spans="1:49" s="281" customFormat="1">
      <c r="A18" s="281">
        <v>84</v>
      </c>
      <c r="B18" s="281">
        <v>0</v>
      </c>
      <c r="C18" s="282" t="s">
        <v>545</v>
      </c>
      <c r="D18" s="282" t="s">
        <v>544</v>
      </c>
      <c r="E18" s="282" t="s">
        <v>111</v>
      </c>
      <c r="F18" s="282" t="s">
        <v>112</v>
      </c>
      <c r="G18" s="355">
        <v>1</v>
      </c>
      <c r="H18" s="355">
        <v>2</v>
      </c>
      <c r="I18" s="281">
        <v>1</v>
      </c>
      <c r="J18" s="281">
        <v>1</v>
      </c>
      <c r="K18" s="306">
        <v>8.4266034322149981</v>
      </c>
      <c r="L18" s="306">
        <v>6.6085714285714285</v>
      </c>
      <c r="M18" s="306">
        <v>3.9272370922101714</v>
      </c>
      <c r="N18" s="306">
        <v>6.558197762464693</v>
      </c>
      <c r="O18" s="307">
        <v>25</v>
      </c>
      <c r="P18" s="306">
        <v>7.6359752066115707</v>
      </c>
      <c r="Q18" s="306">
        <v>7.1434172439167831</v>
      </c>
      <c r="R18" s="307">
        <v>21</v>
      </c>
      <c r="S18" s="306">
        <v>5.8734656241901035</v>
      </c>
      <c r="T18" s="306">
        <v>8.970273738237811</v>
      </c>
      <c r="U18" s="306">
        <v>8.6190476190476186</v>
      </c>
      <c r="V18" s="306">
        <v>8.2380952380952372</v>
      </c>
      <c r="W18" s="307">
        <v>4</v>
      </c>
      <c r="X18" s="309">
        <v>50</v>
      </c>
      <c r="Y18" s="283">
        <f t="shared" si="0"/>
        <v>21.448790227674799</v>
      </c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5"/>
      <c r="AS18" s="25"/>
      <c r="AT18" s="25"/>
      <c r="AU18" s="25"/>
      <c r="AV18" s="25"/>
      <c r="AW18" s="25"/>
    </row>
    <row r="19" spans="1:49" s="281" customFormat="1">
      <c r="A19" s="281">
        <v>87</v>
      </c>
      <c r="B19" s="281">
        <v>0</v>
      </c>
      <c r="C19" s="282" t="s">
        <v>547</v>
      </c>
      <c r="D19" s="282" t="s">
        <v>546</v>
      </c>
      <c r="E19" s="282" t="s">
        <v>119</v>
      </c>
      <c r="F19" s="282" t="s">
        <v>128</v>
      </c>
      <c r="G19" s="355">
        <v>1</v>
      </c>
      <c r="H19" s="355">
        <v>2</v>
      </c>
      <c r="I19" s="281">
        <v>1</v>
      </c>
      <c r="J19" s="281">
        <v>1</v>
      </c>
      <c r="K19" s="283">
        <v>8.7270608768380278</v>
      </c>
      <c r="L19" s="283">
        <v>8.65</v>
      </c>
      <c r="M19" s="283">
        <v>10</v>
      </c>
      <c r="N19" s="283">
        <v>6.5400971133536299</v>
      </c>
      <c r="O19" s="308">
        <v>1</v>
      </c>
      <c r="P19" s="283">
        <v>7.0221342975206618</v>
      </c>
      <c r="Q19" s="283">
        <v>8.2781692888851133</v>
      </c>
      <c r="R19" s="307">
        <v>19</v>
      </c>
      <c r="S19" s="283">
        <v>4.5534266341508429</v>
      </c>
      <c r="T19" s="283">
        <v>6.8907185628742518</v>
      </c>
      <c r="U19" s="283">
        <v>8.3333333333333339</v>
      </c>
      <c r="V19" s="283">
        <v>7.1428571428571432</v>
      </c>
      <c r="W19" s="308">
        <v>18</v>
      </c>
      <c r="X19" s="309">
        <v>38</v>
      </c>
      <c r="Y19" s="283">
        <f t="shared" si="0"/>
        <v>23.487542704736924</v>
      </c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5"/>
      <c r="AL19" s="25"/>
      <c r="AM19" s="25"/>
      <c r="AN19" s="25"/>
      <c r="AO19" s="25"/>
      <c r="AP19" s="25"/>
      <c r="AQ19" s="25"/>
      <c r="AR19" s="25"/>
      <c r="AS19" s="25"/>
      <c r="AT19" s="25"/>
      <c r="AU19" s="25"/>
      <c r="AV19" s="25"/>
      <c r="AW19" s="25"/>
    </row>
    <row r="20" spans="1:49" s="281" customFormat="1">
      <c r="A20" s="281">
        <v>101</v>
      </c>
      <c r="B20" s="281">
        <v>0</v>
      </c>
      <c r="C20" s="282" t="s">
        <v>561</v>
      </c>
      <c r="D20" s="282" t="s">
        <v>560</v>
      </c>
      <c r="E20" s="282" t="s">
        <v>111</v>
      </c>
      <c r="F20" s="282" t="s">
        <v>112</v>
      </c>
      <c r="G20" s="355">
        <v>1</v>
      </c>
      <c r="H20" s="355">
        <v>2</v>
      </c>
      <c r="I20" s="281">
        <v>0</v>
      </c>
      <c r="J20" s="281">
        <v>1</v>
      </c>
      <c r="K20" s="306">
        <v>8.3059788941475183</v>
      </c>
      <c r="L20" s="306">
        <v>5</v>
      </c>
      <c r="M20" s="306">
        <v>1.44188376753507</v>
      </c>
      <c r="N20" s="306">
        <v>4.5244917506807099</v>
      </c>
      <c r="O20" s="307">
        <v>28</v>
      </c>
      <c r="P20" s="306">
        <v>7.4271342975206611</v>
      </c>
      <c r="Q20" s="306">
        <v>1</v>
      </c>
      <c r="R20" s="307">
        <v>26</v>
      </c>
      <c r="S20" s="306">
        <v>1</v>
      </c>
      <c r="T20" s="306">
        <v>6.6492728828058176</v>
      </c>
      <c r="U20" s="306">
        <v>7.1428571428571432</v>
      </c>
      <c r="V20" s="306">
        <v>6.4285714285714288</v>
      </c>
      <c r="W20" s="307">
        <v>26</v>
      </c>
      <c r="X20" s="309">
        <v>80</v>
      </c>
      <c r="Y20" s="283">
        <f t="shared" si="0"/>
        <v>11.123263966649422</v>
      </c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</row>
    <row r="21" spans="1:49" s="281" customFormat="1">
      <c r="A21" s="281">
        <v>105</v>
      </c>
      <c r="B21" s="281">
        <v>0</v>
      </c>
      <c r="C21" s="282" t="s">
        <v>531</v>
      </c>
      <c r="D21" s="282" t="s">
        <v>530</v>
      </c>
      <c r="E21" s="282" t="s">
        <v>111</v>
      </c>
      <c r="F21" s="282" t="s">
        <v>112</v>
      </c>
      <c r="G21" s="355">
        <v>1</v>
      </c>
      <c r="H21" s="355">
        <v>2</v>
      </c>
      <c r="I21" s="281">
        <v>1</v>
      </c>
      <c r="J21" s="281">
        <v>1</v>
      </c>
      <c r="K21" s="306">
        <v>8.6560387366122207</v>
      </c>
      <c r="L21" s="306">
        <v>8.9714285714285715</v>
      </c>
      <c r="M21" s="306">
        <v>5.2985455890321411</v>
      </c>
      <c r="N21" s="306">
        <v>6.3880903157383369</v>
      </c>
      <c r="O21" s="307">
        <v>7</v>
      </c>
      <c r="P21" s="306">
        <v>7.4203842975206609</v>
      </c>
      <c r="Q21" s="306">
        <v>8.5218277904061175</v>
      </c>
      <c r="R21" s="307">
        <v>9</v>
      </c>
      <c r="S21" s="306">
        <v>6.2221762429794856</v>
      </c>
      <c r="T21" s="306">
        <v>5.7891360136869121</v>
      </c>
      <c r="U21" s="306">
        <v>9.6428571428571423</v>
      </c>
      <c r="V21" s="306">
        <v>7.8571428571428568</v>
      </c>
      <c r="W21" s="308">
        <v>12</v>
      </c>
      <c r="X21" s="309">
        <v>28</v>
      </c>
      <c r="Y21" s="283">
        <f t="shared" si="0"/>
        <v>23.228181657775536</v>
      </c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5"/>
      <c r="AS21" s="25"/>
      <c r="AT21" s="25"/>
      <c r="AU21" s="25"/>
      <c r="AV21" s="25"/>
      <c r="AW21" s="25"/>
    </row>
    <row r="22" spans="1:49" s="281" customFormat="1">
      <c r="A22" s="281">
        <v>108</v>
      </c>
      <c r="B22" s="281">
        <v>0</v>
      </c>
      <c r="C22" s="282" t="s">
        <v>563</v>
      </c>
      <c r="D22" s="282" t="s">
        <v>562</v>
      </c>
      <c r="E22" s="282" t="s">
        <v>111</v>
      </c>
      <c r="F22" s="282" t="s">
        <v>112</v>
      </c>
      <c r="G22" s="355"/>
      <c r="H22" s="355">
        <v>2</v>
      </c>
      <c r="I22" s="281">
        <v>0</v>
      </c>
      <c r="J22" s="281">
        <v>1</v>
      </c>
      <c r="K22" s="306">
        <v>9.2904381357995796</v>
      </c>
      <c r="L22" s="306">
        <v>4.4642857142857144</v>
      </c>
      <c r="M22" s="306">
        <v>1.44188376753507</v>
      </c>
      <c r="N22" s="306">
        <v>5.7672024066047634</v>
      </c>
      <c r="O22" s="307">
        <v>26</v>
      </c>
      <c r="P22" s="306">
        <v>1</v>
      </c>
      <c r="Q22" s="306">
        <v>1</v>
      </c>
      <c r="R22" s="307">
        <v>28</v>
      </c>
      <c r="S22" s="306">
        <v>1</v>
      </c>
      <c r="T22" s="306">
        <v>1</v>
      </c>
      <c r="U22" s="306">
        <v>7.1428571428571432</v>
      </c>
      <c r="V22" s="306">
        <v>6.25</v>
      </c>
      <c r="W22" s="307">
        <v>28</v>
      </c>
      <c r="X22" s="309">
        <v>82</v>
      </c>
      <c r="Y22" s="283">
        <f t="shared" si="0"/>
        <v>10.089166791770568</v>
      </c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</row>
    <row r="23" spans="1:49" s="281" customFormat="1">
      <c r="A23" s="281">
        <v>116</v>
      </c>
      <c r="B23" s="281">
        <v>0</v>
      </c>
      <c r="C23" s="282" t="s">
        <v>557</v>
      </c>
      <c r="D23" s="282" t="s">
        <v>556</v>
      </c>
      <c r="E23" s="282" t="s">
        <v>111</v>
      </c>
      <c r="F23" s="282" t="s">
        <v>112</v>
      </c>
      <c r="G23" s="355">
        <v>1</v>
      </c>
      <c r="H23" s="355">
        <v>2</v>
      </c>
      <c r="I23" s="281">
        <v>0</v>
      </c>
      <c r="J23" s="281">
        <v>1</v>
      </c>
      <c r="K23" s="306">
        <v>8.4904095071136361</v>
      </c>
      <c r="L23" s="306">
        <v>6.8285714285714283</v>
      </c>
      <c r="M23" s="306">
        <v>5.1909852537693411</v>
      </c>
      <c r="N23" s="306">
        <v>5.2866423650726784</v>
      </c>
      <c r="O23" s="307">
        <v>22</v>
      </c>
      <c r="P23" s="306">
        <v>7.0801136363636363</v>
      </c>
      <c r="Q23" s="306">
        <v>7.6149657351010402</v>
      </c>
      <c r="R23" s="308">
        <v>24</v>
      </c>
      <c r="S23" s="306">
        <v>5.298117578821171</v>
      </c>
      <c r="T23" s="306">
        <v>4.8999144568006843</v>
      </c>
      <c r="U23" s="306">
        <v>7.8571428571428568</v>
      </c>
      <c r="V23" s="306">
        <v>7.8571428571428568</v>
      </c>
      <c r="W23" s="308">
        <v>22</v>
      </c>
      <c r="X23" s="309">
        <v>68</v>
      </c>
      <c r="Y23" s="283">
        <f t="shared" si="0"/>
        <v>20.542197311209705</v>
      </c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  <c r="AR23" s="25"/>
      <c r="AS23" s="25"/>
      <c r="AT23" s="25"/>
      <c r="AU23" s="25"/>
      <c r="AV23" s="25"/>
      <c r="AW23" s="25"/>
    </row>
    <row r="24" spans="1:49" s="281" customFormat="1">
      <c r="A24" s="281">
        <v>130</v>
      </c>
      <c r="B24" s="281">
        <v>0</v>
      </c>
      <c r="C24" s="282" t="s">
        <v>551</v>
      </c>
      <c r="D24" s="282" t="s">
        <v>550</v>
      </c>
      <c r="E24" s="282" t="s">
        <v>111</v>
      </c>
      <c r="F24" s="282" t="s">
        <v>112</v>
      </c>
      <c r="G24" s="355">
        <v>1</v>
      </c>
      <c r="H24" s="355">
        <v>2</v>
      </c>
      <c r="I24" s="281">
        <v>1</v>
      </c>
      <c r="J24" s="281">
        <v>1</v>
      </c>
      <c r="K24" s="306">
        <v>8.4714629982896348</v>
      </c>
      <c r="L24" s="306">
        <v>8.795238095238096</v>
      </c>
      <c r="M24" s="306">
        <v>4.2070250802033247</v>
      </c>
      <c r="N24" s="306">
        <v>5.8590361557801671</v>
      </c>
      <c r="O24" s="307">
        <v>18</v>
      </c>
      <c r="P24" s="306">
        <v>7.4734545454545449</v>
      </c>
      <c r="Q24" s="306">
        <v>8.7002729211257392</v>
      </c>
      <c r="R24" s="307">
        <v>8</v>
      </c>
      <c r="S24" s="306">
        <v>5.8628378362101046</v>
      </c>
      <c r="T24" s="306">
        <v>5.7321785001425711</v>
      </c>
      <c r="U24" s="306">
        <v>8.0952380952380949</v>
      </c>
      <c r="V24" s="306">
        <v>7.3809523809523796</v>
      </c>
      <c r="W24" s="308">
        <v>17</v>
      </c>
      <c r="X24" s="309">
        <v>43</v>
      </c>
      <c r="Y24" s="283">
        <f t="shared" si="0"/>
        <v>22.301265206639329</v>
      </c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</row>
    <row r="25" spans="1:49" s="281" customFormat="1">
      <c r="A25" s="281">
        <v>131</v>
      </c>
      <c r="B25" s="281">
        <v>0</v>
      </c>
      <c r="C25" s="282" t="s">
        <v>539</v>
      </c>
      <c r="D25" s="282" t="s">
        <v>538</v>
      </c>
      <c r="E25" s="282" t="s">
        <v>111</v>
      </c>
      <c r="F25" s="282" t="s">
        <v>112</v>
      </c>
      <c r="G25" s="355">
        <v>1</v>
      </c>
      <c r="H25" s="355">
        <v>2</v>
      </c>
      <c r="I25" s="281">
        <v>1</v>
      </c>
      <c r="J25" s="281">
        <v>1</v>
      </c>
      <c r="K25" s="306">
        <v>9.3364276387949872</v>
      </c>
      <c r="L25" s="306">
        <v>8.7969387755102044</v>
      </c>
      <c r="M25" s="306">
        <v>3.9782744673897152</v>
      </c>
      <c r="N25" s="306">
        <v>7.5419975394494703</v>
      </c>
      <c r="O25" s="307">
        <v>5</v>
      </c>
      <c r="P25" s="306">
        <v>7.3708842975206608</v>
      </c>
      <c r="Q25" s="306">
        <v>8.0199750419184817</v>
      </c>
      <c r="R25" s="307">
        <v>17</v>
      </c>
      <c r="S25" s="306">
        <v>5.170684938997824</v>
      </c>
      <c r="T25" s="306">
        <v>5.7360686789685928</v>
      </c>
      <c r="U25" s="306">
        <v>9.1326530612244898</v>
      </c>
      <c r="V25" s="306">
        <v>9.4132653061224492</v>
      </c>
      <c r="W25" s="307">
        <v>13</v>
      </c>
      <c r="X25" s="309">
        <v>35</v>
      </c>
      <c r="Y25" s="283">
        <f t="shared" si="0"/>
        <v>22.796552643532912</v>
      </c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  <c r="AR25" s="25"/>
      <c r="AS25" s="25"/>
      <c r="AT25" s="25"/>
      <c r="AU25" s="25"/>
      <c r="AV25" s="25"/>
      <c r="AW25" s="25"/>
    </row>
    <row r="26" spans="1:49" s="281" customFormat="1">
      <c r="A26" s="281">
        <v>134</v>
      </c>
      <c r="B26" s="281">
        <v>0</v>
      </c>
      <c r="C26" s="282" t="s">
        <v>517</v>
      </c>
      <c r="D26" s="282" t="s">
        <v>516</v>
      </c>
      <c r="E26" s="282" t="s">
        <v>119</v>
      </c>
      <c r="F26" s="282" t="s">
        <v>120</v>
      </c>
      <c r="G26" s="355">
        <v>1</v>
      </c>
      <c r="H26" s="355">
        <v>2</v>
      </c>
      <c r="I26" s="281">
        <v>1</v>
      </c>
      <c r="J26" s="281">
        <v>1</v>
      </c>
      <c r="K26" s="306">
        <v>8.9862269045910868</v>
      </c>
      <c r="L26" s="306">
        <v>9.65</v>
      </c>
      <c r="M26" s="306">
        <v>5.1148950261037101</v>
      </c>
      <c r="N26" s="306">
        <v>7.6851512263137494</v>
      </c>
      <c r="O26" s="307">
        <v>2</v>
      </c>
      <c r="P26" s="306">
        <v>7.1707644628099168</v>
      </c>
      <c r="Q26" s="306">
        <v>9.2003740404727647</v>
      </c>
      <c r="R26" s="307">
        <v>5</v>
      </c>
      <c r="S26" s="306">
        <v>4.3417401510795637</v>
      </c>
      <c r="T26" s="306">
        <v>6.4542343883661255</v>
      </c>
      <c r="U26" s="306">
        <v>9.8809523809523796</v>
      </c>
      <c r="V26" s="306">
        <v>10</v>
      </c>
      <c r="W26" s="307">
        <v>8</v>
      </c>
      <c r="X26" s="309">
        <v>15</v>
      </c>
      <c r="Y26" s="283">
        <f t="shared" si="0"/>
        <v>24.728674059824417</v>
      </c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</row>
    <row r="27" spans="1:49" s="281" customFormat="1">
      <c r="A27" s="281">
        <v>144</v>
      </c>
      <c r="B27" s="281">
        <v>0</v>
      </c>
      <c r="C27" s="282" t="s">
        <v>549</v>
      </c>
      <c r="D27" s="282" t="s">
        <v>548</v>
      </c>
      <c r="E27" s="282" t="s">
        <v>111</v>
      </c>
      <c r="F27" s="282" t="s">
        <v>112</v>
      </c>
      <c r="G27" s="355">
        <v>1</v>
      </c>
      <c r="H27" s="355">
        <v>2</v>
      </c>
      <c r="I27" s="281">
        <v>1</v>
      </c>
      <c r="J27" s="281">
        <v>1</v>
      </c>
      <c r="K27" s="306">
        <v>8.2595214454990078</v>
      </c>
      <c r="L27" s="306">
        <v>7.8595238095238091</v>
      </c>
      <c r="M27" s="306">
        <v>3.6581678593237976</v>
      </c>
      <c r="N27" s="306">
        <v>6.2381985004893163</v>
      </c>
      <c r="O27" s="307">
        <v>21</v>
      </c>
      <c r="P27" s="306">
        <v>7.6472252066115702</v>
      </c>
      <c r="Q27" s="306">
        <v>7.4932296577416926</v>
      </c>
      <c r="R27" s="307">
        <v>20</v>
      </c>
      <c r="S27" s="306">
        <v>4.5860735683092768</v>
      </c>
      <c r="T27" s="306">
        <v>6.4708440262332481</v>
      </c>
      <c r="U27" s="306">
        <v>7.6190476190476195</v>
      </c>
      <c r="V27" s="306">
        <v>7.1904761904761907</v>
      </c>
      <c r="W27" s="307">
        <v>23</v>
      </c>
      <c r="X27" s="309">
        <v>64</v>
      </c>
      <c r="Y27" s="283">
        <f t="shared" si="0"/>
        <v>20.463692912467259</v>
      </c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25"/>
      <c r="AL27" s="25"/>
      <c r="AM27" s="25"/>
      <c r="AN27" s="25"/>
      <c r="AO27" s="25"/>
      <c r="AP27" s="25"/>
      <c r="AQ27" s="25"/>
      <c r="AR27" s="25"/>
      <c r="AS27" s="25"/>
      <c r="AT27" s="25"/>
      <c r="AU27" s="25"/>
      <c r="AV27" s="25"/>
      <c r="AW27" s="25"/>
    </row>
    <row r="28" spans="1:49" s="281" customFormat="1">
      <c r="A28" s="281">
        <v>166</v>
      </c>
      <c r="B28" s="281">
        <v>0</v>
      </c>
      <c r="C28" s="282" t="s">
        <v>515</v>
      </c>
      <c r="D28" s="282" t="s">
        <v>514</v>
      </c>
      <c r="E28" s="282" t="s">
        <v>111</v>
      </c>
      <c r="F28" s="282" t="s">
        <v>112</v>
      </c>
      <c r="G28" s="355">
        <v>1</v>
      </c>
      <c r="H28" s="355">
        <v>2</v>
      </c>
      <c r="I28" s="281">
        <v>1</v>
      </c>
      <c r="J28" s="281">
        <v>1</v>
      </c>
      <c r="K28" s="306">
        <v>8.8741282312877665</v>
      </c>
      <c r="L28" s="306">
        <v>9.5309523809523817</v>
      </c>
      <c r="M28" s="306">
        <v>3.6456905226762535</v>
      </c>
      <c r="N28" s="306">
        <v>7.0707990773787763</v>
      </c>
      <c r="O28" s="307">
        <v>9</v>
      </c>
      <c r="P28" s="306">
        <v>7.3686342975206607</v>
      </c>
      <c r="Q28" s="306">
        <v>8.0472842447255992</v>
      </c>
      <c r="R28" s="307">
        <v>16</v>
      </c>
      <c r="S28" s="306">
        <v>5.3643554813268368</v>
      </c>
      <c r="T28" s="306">
        <v>6.161926147704591</v>
      </c>
      <c r="U28" s="306">
        <v>9.0476190476190492</v>
      </c>
      <c r="V28" s="306">
        <v>8.75</v>
      </c>
      <c r="W28" s="307">
        <v>14</v>
      </c>
      <c r="X28" s="309">
        <v>39</v>
      </c>
      <c r="Y28" s="283">
        <f t="shared" si="0"/>
        <v>22.658651966962012</v>
      </c>
      <c r="Z28" s="25"/>
      <c r="AA28" s="25"/>
      <c r="AB28" s="25"/>
      <c r="AC28" s="25"/>
      <c r="AD28" s="25"/>
      <c r="AE28" s="25"/>
      <c r="AF28" s="25"/>
      <c r="AG28" s="25"/>
      <c r="AH28" s="25"/>
      <c r="AI28" s="25"/>
      <c r="AJ28" s="25"/>
      <c r="AK28" s="25"/>
      <c r="AL28" s="25"/>
      <c r="AM28" s="25"/>
      <c r="AN28" s="25"/>
      <c r="AO28" s="25"/>
      <c r="AP28" s="25"/>
      <c r="AQ28" s="25"/>
      <c r="AR28" s="25"/>
      <c r="AS28" s="25"/>
      <c r="AT28" s="25"/>
      <c r="AU28" s="25"/>
      <c r="AV28" s="25"/>
      <c r="AW28" s="25"/>
    </row>
    <row r="29" spans="1:49" s="281" customFormat="1">
      <c r="A29" s="281">
        <v>185</v>
      </c>
      <c r="B29" s="281">
        <v>0</v>
      </c>
      <c r="C29" s="282" t="s">
        <v>533</v>
      </c>
      <c r="D29" s="282" t="s">
        <v>160</v>
      </c>
      <c r="E29" s="282" t="s">
        <v>127</v>
      </c>
      <c r="F29" s="282" t="s">
        <v>127</v>
      </c>
      <c r="G29" s="355">
        <v>1</v>
      </c>
      <c r="H29" s="355">
        <v>2</v>
      </c>
      <c r="I29" s="281">
        <v>1</v>
      </c>
      <c r="J29" s="281">
        <v>1</v>
      </c>
      <c r="K29" s="306">
        <v>8.4560655375425231</v>
      </c>
      <c r="L29" s="306">
        <v>7.4595238095238097</v>
      </c>
      <c r="M29" s="306">
        <v>3.3396062511288673</v>
      </c>
      <c r="N29" s="306">
        <v>7.0661751855363102</v>
      </c>
      <c r="O29" s="307">
        <v>20</v>
      </c>
      <c r="P29" s="306">
        <v>5.6710743801652894</v>
      </c>
      <c r="Q29" s="306">
        <v>9.0722812691989585</v>
      </c>
      <c r="R29" s="308">
        <v>22</v>
      </c>
      <c r="S29" s="306">
        <v>4.5897932457304487</v>
      </c>
      <c r="T29" s="306">
        <v>6.1407898488736823</v>
      </c>
      <c r="U29" s="306">
        <v>5.5714285714285712</v>
      </c>
      <c r="V29" s="306">
        <v>7.8571428571428568</v>
      </c>
      <c r="W29" s="308">
        <v>25</v>
      </c>
      <c r="X29" s="309">
        <v>67</v>
      </c>
      <c r="Y29" s="283">
        <f t="shared" si="0"/>
        <v>21.692412595925727</v>
      </c>
      <c r="Z29" s="25"/>
      <c r="AA29" s="25"/>
      <c r="AB29" s="25"/>
      <c r="AC29" s="25"/>
      <c r="AD29" s="25"/>
      <c r="AE29" s="25"/>
      <c r="AF29" s="25"/>
      <c r="AG29" s="25"/>
      <c r="AH29" s="25"/>
      <c r="AI29" s="25"/>
      <c r="AJ29" s="25"/>
      <c r="AK29" s="25"/>
      <c r="AL29" s="25"/>
      <c r="AM29" s="25"/>
      <c r="AN29" s="25"/>
      <c r="AO29" s="25"/>
      <c r="AP29" s="25"/>
      <c r="AQ29" s="25"/>
      <c r="AR29" s="25"/>
      <c r="AS29" s="25"/>
      <c r="AT29" s="25"/>
      <c r="AU29" s="25"/>
      <c r="AV29" s="25"/>
      <c r="AW29" s="25"/>
    </row>
    <row r="30" spans="1:49" s="13" customFormat="1">
      <c r="A30" s="13">
        <v>1</v>
      </c>
      <c r="B30" s="13">
        <v>0</v>
      </c>
      <c r="C30" s="294" t="s">
        <v>317</v>
      </c>
      <c r="D30" s="294" t="s">
        <v>316</v>
      </c>
      <c r="E30" s="294" t="s">
        <v>106</v>
      </c>
      <c r="F30" s="294" t="s">
        <v>106</v>
      </c>
      <c r="G30" s="350">
        <v>4</v>
      </c>
      <c r="H30" s="351">
        <v>3</v>
      </c>
      <c r="I30">
        <v>0</v>
      </c>
      <c r="J30" s="13">
        <v>0</v>
      </c>
      <c r="K30" s="20">
        <v>7.2651573575966895</v>
      </c>
      <c r="L30" s="20">
        <v>1.9678571428571427</v>
      </c>
      <c r="M30" s="20">
        <v>1.6867511847729793</v>
      </c>
      <c r="N30" s="20">
        <v>5.1419444947481256</v>
      </c>
      <c r="O30" s="311">
        <v>150</v>
      </c>
      <c r="P30" s="20">
        <v>6.1954917355371908</v>
      </c>
      <c r="Q30" s="20">
        <v>1</v>
      </c>
      <c r="R30" s="312">
        <v>160</v>
      </c>
      <c r="S30" s="20">
        <v>1.0510738008539606</v>
      </c>
      <c r="T30" s="20">
        <v>4.6954662104362699</v>
      </c>
      <c r="U30" s="20">
        <v>3.9285714285714284</v>
      </c>
      <c r="V30" s="20">
        <v>5.7142857142857135</v>
      </c>
      <c r="W30" s="312">
        <v>140</v>
      </c>
      <c r="X30" s="313">
        <v>450</v>
      </c>
      <c r="Y30" s="236">
        <f t="shared" si="0"/>
        <v>8.8627768335305781</v>
      </c>
      <c r="Z30" s="25"/>
      <c r="AA30" s="25"/>
      <c r="AB30" s="25"/>
      <c r="AC30" s="25"/>
      <c r="AD30" s="25"/>
      <c r="AE30" s="25"/>
      <c r="AF30" s="25"/>
      <c r="AG30" s="25"/>
      <c r="AH30" s="25"/>
      <c r="AI30" s="25"/>
      <c r="AJ30" s="25"/>
      <c r="AK30" s="25"/>
      <c r="AL30" s="25"/>
      <c r="AM30" s="25"/>
      <c r="AN30" s="25"/>
      <c r="AO30" s="25"/>
      <c r="AP30" s="25"/>
      <c r="AQ30" s="25"/>
      <c r="AR30" s="25"/>
      <c r="AS30" s="25"/>
      <c r="AT30" s="25"/>
      <c r="AU30" s="25"/>
      <c r="AV30" s="25"/>
      <c r="AW30" s="25"/>
    </row>
    <row r="31" spans="1:49" s="13" customFormat="1">
      <c r="A31" s="13">
        <v>2</v>
      </c>
      <c r="B31" s="13">
        <v>0</v>
      </c>
      <c r="C31" s="294" t="s">
        <v>261</v>
      </c>
      <c r="D31" s="294" t="s">
        <v>260</v>
      </c>
      <c r="E31" s="294" t="s">
        <v>107</v>
      </c>
      <c r="F31" s="294" t="s">
        <v>108</v>
      </c>
      <c r="G31" s="350">
        <v>4</v>
      </c>
      <c r="H31" s="351">
        <v>4</v>
      </c>
      <c r="I31">
        <v>0</v>
      </c>
      <c r="J31" s="13">
        <v>0</v>
      </c>
      <c r="K31" s="305">
        <v>6.3836340443874606</v>
      </c>
      <c r="L31" s="305">
        <v>3.7121428571428567</v>
      </c>
      <c r="M31" s="305">
        <v>1.9316186020108885</v>
      </c>
      <c r="N31" s="305">
        <v>5.824953041565534</v>
      </c>
      <c r="O31" s="311">
        <v>134</v>
      </c>
      <c r="P31" s="305">
        <v>7.1750041322314049</v>
      </c>
      <c r="Q31" s="305">
        <v>5.7040912943575899</v>
      </c>
      <c r="R31" s="312">
        <v>108</v>
      </c>
      <c r="S31" s="305">
        <v>2.4339798925593841</v>
      </c>
      <c r="T31" s="305">
        <v>4.1633875106928997</v>
      </c>
      <c r="U31" s="305">
        <v>5.7142857142857135</v>
      </c>
      <c r="V31" s="305">
        <v>7.1428571428571432</v>
      </c>
      <c r="W31" s="312">
        <v>106</v>
      </c>
      <c r="X31" s="313">
        <v>348</v>
      </c>
      <c r="Y31" s="236">
        <f t="shared" si="0"/>
        <v>15.03080599573306</v>
      </c>
      <c r="Z31" s="25"/>
      <c r="AA31" s="25"/>
      <c r="AB31" s="25"/>
      <c r="AC31" s="25"/>
      <c r="AD31" s="25"/>
      <c r="AE31" s="25"/>
      <c r="AF31" s="25"/>
      <c r="AG31" s="25"/>
      <c r="AH31" s="25"/>
      <c r="AI31" s="25"/>
      <c r="AJ31" s="25"/>
      <c r="AK31" s="25"/>
      <c r="AL31" s="25"/>
      <c r="AM31" s="25"/>
      <c r="AN31" s="25"/>
      <c r="AO31" s="25"/>
      <c r="AP31" s="25"/>
      <c r="AQ31" s="25"/>
      <c r="AR31" s="25"/>
      <c r="AS31" s="25"/>
      <c r="AT31" s="25"/>
      <c r="AU31" s="25"/>
      <c r="AV31" s="25"/>
      <c r="AW31" s="25"/>
    </row>
    <row r="32" spans="1:49" s="13" customFormat="1">
      <c r="A32" s="13">
        <v>3</v>
      </c>
      <c r="B32" s="13">
        <v>0</v>
      </c>
      <c r="C32" s="294" t="s">
        <v>376</v>
      </c>
      <c r="D32" s="294" t="s">
        <v>375</v>
      </c>
      <c r="E32" s="294" t="s">
        <v>109</v>
      </c>
      <c r="F32" s="294" t="s">
        <v>110</v>
      </c>
      <c r="G32" s="350">
        <v>2</v>
      </c>
      <c r="H32" s="351">
        <v>3</v>
      </c>
      <c r="I32">
        <v>0</v>
      </c>
      <c r="J32" s="13">
        <v>0</v>
      </c>
      <c r="K32" s="20">
        <v>7.4868309213707205</v>
      </c>
      <c r="L32" s="20">
        <v>4.9995238095238097</v>
      </c>
      <c r="M32" s="20">
        <v>2.4652701110375252</v>
      </c>
      <c r="N32" s="20">
        <v>5.8627313024817322</v>
      </c>
      <c r="O32" s="311">
        <v>80</v>
      </c>
      <c r="P32" s="20">
        <v>7.5692747933884297</v>
      </c>
      <c r="Q32" s="20">
        <v>7.3706107851647022</v>
      </c>
      <c r="R32" s="312">
        <v>26</v>
      </c>
      <c r="S32" s="20">
        <v>3.3231987021009304</v>
      </c>
      <c r="T32" s="20">
        <v>4.7287567721699455</v>
      </c>
      <c r="U32" s="20">
        <v>7.1428571428571432</v>
      </c>
      <c r="V32" s="20">
        <v>7.6190476190476186</v>
      </c>
      <c r="W32" s="312">
        <v>69</v>
      </c>
      <c r="X32" s="313">
        <v>175</v>
      </c>
      <c r="Y32" s="236">
        <f t="shared" si="0"/>
        <v>18.277664880312059</v>
      </c>
      <c r="Z32" s="25"/>
      <c r="AA32" s="25"/>
      <c r="AB32" s="25"/>
      <c r="AC32" s="25"/>
      <c r="AD32" s="25"/>
      <c r="AE32" s="25"/>
      <c r="AF32" s="25"/>
      <c r="AG32" s="25"/>
      <c r="AH32" s="25"/>
      <c r="AI32" s="25"/>
      <c r="AJ32" s="25"/>
      <c r="AK32" s="25"/>
      <c r="AL32" s="25"/>
      <c r="AM32" s="25"/>
      <c r="AN32" s="25"/>
      <c r="AO32" s="25"/>
      <c r="AP32" s="25"/>
      <c r="AQ32" s="25"/>
      <c r="AR32" s="25"/>
      <c r="AS32" s="25"/>
      <c r="AT32" s="25"/>
      <c r="AU32" s="25"/>
      <c r="AV32" s="25"/>
      <c r="AW32" s="25"/>
    </row>
    <row r="33" spans="1:49" s="13" customFormat="1">
      <c r="A33" s="13">
        <v>5</v>
      </c>
      <c r="B33" s="13">
        <v>0</v>
      </c>
      <c r="C33" s="294" t="s">
        <v>372</v>
      </c>
      <c r="D33" s="294" t="s">
        <v>371</v>
      </c>
      <c r="E33" s="294" t="s">
        <v>113</v>
      </c>
      <c r="F33" s="294" t="s">
        <v>114</v>
      </c>
      <c r="G33" s="350">
        <v>1</v>
      </c>
      <c r="H33" s="351">
        <v>2</v>
      </c>
      <c r="I33">
        <v>0</v>
      </c>
      <c r="J33" s="13">
        <v>0</v>
      </c>
      <c r="K33" s="20">
        <v>6.3055030403495813</v>
      </c>
      <c r="L33" s="20">
        <v>7.5333333333333332</v>
      </c>
      <c r="M33" s="20">
        <v>2.5927606285532439</v>
      </c>
      <c r="N33" s="20">
        <v>6.2180506226685734</v>
      </c>
      <c r="O33" s="311">
        <v>51</v>
      </c>
      <c r="P33" s="20">
        <v>7.4058243801652894</v>
      </c>
      <c r="Q33" s="20">
        <v>7.4752428671591922</v>
      </c>
      <c r="R33" s="312">
        <v>27</v>
      </c>
      <c r="S33" s="20">
        <v>2.7224364228738498</v>
      </c>
      <c r="T33" s="20">
        <v>4.0253778157969773</v>
      </c>
      <c r="U33" s="20">
        <v>7.2619047619047628</v>
      </c>
      <c r="V33" s="20">
        <v>5.2380952380952381</v>
      </c>
      <c r="W33" s="312">
        <v>111</v>
      </c>
      <c r="X33" s="313">
        <v>189</v>
      </c>
      <c r="Y33" s="236">
        <f t="shared" si="0"/>
        <v>17.949608333053082</v>
      </c>
      <c r="Z33" s="25"/>
      <c r="AA33" s="25"/>
      <c r="AB33" s="25"/>
      <c r="AC33" s="25"/>
      <c r="AD33" s="25"/>
      <c r="AE33" s="25"/>
      <c r="AF33" s="25"/>
      <c r="AG33" s="25"/>
      <c r="AH33" s="25"/>
      <c r="AI33" s="25"/>
      <c r="AJ33" s="25"/>
      <c r="AK33" s="25"/>
      <c r="AL33" s="25"/>
      <c r="AM33" s="25"/>
      <c r="AN33" s="25"/>
      <c r="AO33" s="25"/>
      <c r="AP33" s="25"/>
      <c r="AQ33" s="25"/>
      <c r="AR33" s="25"/>
      <c r="AS33" s="25"/>
      <c r="AT33" s="25"/>
      <c r="AU33" s="25"/>
      <c r="AV33" s="25"/>
      <c r="AW33" s="25"/>
    </row>
    <row r="34" spans="1:49" s="13" customFormat="1">
      <c r="A34" s="13">
        <v>6</v>
      </c>
      <c r="B34" s="13">
        <v>0</v>
      </c>
      <c r="C34" s="294" t="s">
        <v>616</v>
      </c>
      <c r="D34" s="294" t="s">
        <v>615</v>
      </c>
      <c r="E34" s="294" t="s">
        <v>115</v>
      </c>
      <c r="F34" s="294" t="s">
        <v>116</v>
      </c>
      <c r="G34" s="350">
        <v>2</v>
      </c>
      <c r="H34" s="351">
        <v>2</v>
      </c>
      <c r="I34">
        <v>0</v>
      </c>
      <c r="J34" s="13">
        <v>0</v>
      </c>
      <c r="K34" s="305">
        <v>7.8704640441914959</v>
      </c>
      <c r="L34" s="305">
        <v>5.8655844155844159</v>
      </c>
      <c r="M34" s="305">
        <v>3.9517747942236405</v>
      </c>
      <c r="N34" s="305">
        <v>7.4956399762703576</v>
      </c>
      <c r="O34" s="311">
        <v>19</v>
      </c>
      <c r="P34" s="305">
        <v>6.7563739669421476</v>
      </c>
      <c r="Q34" s="305">
        <v>6.2332149961845031</v>
      </c>
      <c r="R34" s="312">
        <v>103</v>
      </c>
      <c r="S34" s="305">
        <v>4.6659356891899808</v>
      </c>
      <c r="T34" s="305">
        <v>5.7098335795940578</v>
      </c>
      <c r="U34" s="305">
        <v>8.896103896103897</v>
      </c>
      <c r="V34" s="305">
        <v>9.4155844155844157</v>
      </c>
      <c r="W34" s="312">
        <v>8</v>
      </c>
      <c r="X34" s="313">
        <v>130</v>
      </c>
      <c r="Y34" s="236">
        <f t="shared" ref="Y34:Y65" si="1">(((AVERAGE(K34:N34)+AVERAGE(Q34+AVERAGE(S34:V34)))))</f>
        <v>19.70094519887007</v>
      </c>
      <c r="Z34" s="25"/>
      <c r="AA34" s="25"/>
      <c r="AB34" s="25"/>
      <c r="AC34" s="25"/>
      <c r="AD34" s="25"/>
      <c r="AE34" s="25"/>
      <c r="AF34" s="25"/>
      <c r="AG34" s="25"/>
      <c r="AH34" s="25"/>
      <c r="AI34" s="25"/>
      <c r="AJ34" s="25"/>
      <c r="AK34" s="25"/>
      <c r="AL34" s="25"/>
      <c r="AM34" s="25"/>
      <c r="AN34" s="25"/>
      <c r="AO34" s="25"/>
      <c r="AP34" s="25"/>
      <c r="AQ34" s="25"/>
      <c r="AR34" s="25"/>
      <c r="AS34" s="25"/>
      <c r="AT34" s="25"/>
      <c r="AU34" s="25"/>
      <c r="AV34" s="25"/>
      <c r="AW34" s="25"/>
    </row>
    <row r="35" spans="1:49" s="13" customFormat="1">
      <c r="A35" s="13">
        <v>7</v>
      </c>
      <c r="B35" s="13">
        <v>0</v>
      </c>
      <c r="C35" s="294" t="s">
        <v>638</v>
      </c>
      <c r="D35" s="294" t="s">
        <v>637</v>
      </c>
      <c r="E35" s="294" t="s">
        <v>109</v>
      </c>
      <c r="F35" s="294" t="s">
        <v>117</v>
      </c>
      <c r="G35" s="350">
        <v>2</v>
      </c>
      <c r="H35" s="351">
        <v>3</v>
      </c>
      <c r="I35">
        <v>0</v>
      </c>
      <c r="J35" s="13">
        <v>0</v>
      </c>
      <c r="K35" s="305">
        <v>7.2242974041429502</v>
      </c>
      <c r="L35" s="305">
        <v>5.2335714285714285</v>
      </c>
      <c r="M35" s="305">
        <v>4.0680632724676826</v>
      </c>
      <c r="N35" s="305">
        <v>5.8462840529737967</v>
      </c>
      <c r="O35" s="311">
        <v>54</v>
      </c>
      <c r="P35" s="305">
        <v>6.80853305785124</v>
      </c>
      <c r="Q35" s="305">
        <v>7.9919983236078673</v>
      </c>
      <c r="R35" s="312">
        <v>30</v>
      </c>
      <c r="S35" s="305">
        <v>2.9044937469327956</v>
      </c>
      <c r="T35" s="305">
        <v>5.3740376390076987</v>
      </c>
      <c r="U35" s="305">
        <v>5.7142857142857135</v>
      </c>
      <c r="V35" s="305">
        <v>7.1428571428571432</v>
      </c>
      <c r="W35" s="312">
        <v>90</v>
      </c>
      <c r="X35" s="313">
        <v>174</v>
      </c>
      <c r="Y35" s="236">
        <f t="shared" si="1"/>
        <v>18.868970923917672</v>
      </c>
      <c r="Z35" s="25"/>
      <c r="AA35" s="25"/>
      <c r="AB35" s="25"/>
      <c r="AC35" s="25"/>
      <c r="AD35" s="25"/>
      <c r="AE35" s="25"/>
      <c r="AF35" s="25"/>
      <c r="AG35" s="25"/>
      <c r="AH35" s="25"/>
      <c r="AI35" s="25"/>
      <c r="AJ35" s="25"/>
      <c r="AK35" s="25"/>
      <c r="AL35" s="25"/>
      <c r="AM35" s="25"/>
      <c r="AN35" s="25"/>
      <c r="AO35" s="25"/>
      <c r="AP35" s="25"/>
      <c r="AQ35" s="25"/>
      <c r="AR35" s="25"/>
      <c r="AS35" s="25"/>
      <c r="AT35" s="25"/>
      <c r="AU35" s="25"/>
      <c r="AV35" s="25"/>
      <c r="AW35" s="25"/>
    </row>
    <row r="36" spans="1:49" s="13" customFormat="1">
      <c r="A36" s="13">
        <v>8</v>
      </c>
      <c r="B36" s="13">
        <v>0</v>
      </c>
      <c r="C36" s="294" t="s">
        <v>255</v>
      </c>
      <c r="D36" s="294" t="s">
        <v>254</v>
      </c>
      <c r="E36" s="294" t="s">
        <v>115</v>
      </c>
      <c r="F36" s="294" t="s">
        <v>118</v>
      </c>
      <c r="G36" s="350">
        <v>2</v>
      </c>
      <c r="H36" s="351">
        <v>2</v>
      </c>
      <c r="I36">
        <v>0</v>
      </c>
      <c r="J36" s="13">
        <v>0</v>
      </c>
      <c r="K36" s="20">
        <v>8.2749150623758574</v>
      </c>
      <c r="L36" s="20">
        <v>3.75</v>
      </c>
      <c r="M36" s="20">
        <v>2.6662208537246164</v>
      </c>
      <c r="N36" s="20">
        <v>4.7017912279617828</v>
      </c>
      <c r="O36" s="311">
        <v>110</v>
      </c>
      <c r="P36" s="20">
        <v>7.422634297520661</v>
      </c>
      <c r="Q36" s="20">
        <v>1</v>
      </c>
      <c r="R36" s="312">
        <v>152</v>
      </c>
      <c r="S36" s="20">
        <v>1</v>
      </c>
      <c r="T36" s="20">
        <v>4.25</v>
      </c>
      <c r="U36" s="20">
        <v>8.5714285714285712</v>
      </c>
      <c r="V36" s="20">
        <v>6.4285714285714288</v>
      </c>
      <c r="W36" s="312">
        <v>100</v>
      </c>
      <c r="X36" s="313">
        <v>362</v>
      </c>
      <c r="Y36" s="236">
        <f t="shared" si="1"/>
        <v>10.910731786015564</v>
      </c>
      <c r="Z36" s="25"/>
      <c r="AA36" s="25"/>
      <c r="AB36" s="25"/>
      <c r="AC36" s="25"/>
      <c r="AD36" s="25"/>
      <c r="AE36" s="25"/>
      <c r="AF36" s="25"/>
      <c r="AG36" s="25"/>
      <c r="AH36" s="25"/>
      <c r="AI36" s="25"/>
      <c r="AJ36" s="25"/>
      <c r="AK36" s="25"/>
      <c r="AL36" s="25"/>
      <c r="AM36" s="25"/>
      <c r="AN36" s="25"/>
      <c r="AO36" s="25"/>
      <c r="AP36" s="25"/>
      <c r="AQ36" s="25"/>
      <c r="AR36" s="25"/>
      <c r="AS36" s="25"/>
      <c r="AT36" s="25"/>
      <c r="AU36" s="25"/>
      <c r="AV36" s="25"/>
      <c r="AW36" s="25"/>
    </row>
    <row r="37" spans="1:49" s="13" customFormat="1">
      <c r="A37" s="13">
        <v>11</v>
      </c>
      <c r="B37" s="13">
        <v>0</v>
      </c>
      <c r="C37" s="294" t="s">
        <v>384</v>
      </c>
      <c r="D37" s="294" t="s">
        <v>383</v>
      </c>
      <c r="E37" s="294" t="s">
        <v>109</v>
      </c>
      <c r="F37" s="294" t="s">
        <v>117</v>
      </c>
      <c r="G37" s="350">
        <v>2</v>
      </c>
      <c r="H37" s="351">
        <v>3</v>
      </c>
      <c r="I37">
        <v>0</v>
      </c>
      <c r="J37" s="13">
        <v>0</v>
      </c>
      <c r="K37" s="20">
        <v>7.7583660360564179</v>
      </c>
      <c r="L37" s="20">
        <v>4.0578571428571433</v>
      </c>
      <c r="M37" s="20">
        <v>5.1949443522237599</v>
      </c>
      <c r="N37" s="20">
        <v>5.6695159809732214</v>
      </c>
      <c r="O37" s="311">
        <v>49</v>
      </c>
      <c r="P37" s="20">
        <v>7.3573842975206603</v>
      </c>
      <c r="Q37" s="20">
        <v>6.7974667872411256</v>
      </c>
      <c r="R37" s="312">
        <v>59</v>
      </c>
      <c r="S37" s="20">
        <v>2.9927817588150067</v>
      </c>
      <c r="T37" s="20">
        <v>3.3986313088109492</v>
      </c>
      <c r="U37" s="20">
        <v>5.7142857142857135</v>
      </c>
      <c r="V37" s="20">
        <v>5.7142857142857135</v>
      </c>
      <c r="W37" s="312">
        <v>129</v>
      </c>
      <c r="X37" s="313">
        <v>237</v>
      </c>
      <c r="Y37" s="236">
        <f t="shared" si="1"/>
        <v>16.922633789318105</v>
      </c>
      <c r="Z37" s="25"/>
      <c r="AA37" s="25"/>
      <c r="AB37" s="25"/>
      <c r="AC37" s="25"/>
      <c r="AD37" s="25"/>
      <c r="AE37" s="25"/>
      <c r="AF37" s="25"/>
      <c r="AG37" s="25"/>
      <c r="AH37" s="25"/>
      <c r="AI37" s="25"/>
      <c r="AJ37" s="25"/>
      <c r="AK37" s="25"/>
      <c r="AL37" s="25"/>
      <c r="AM37" s="25"/>
      <c r="AN37" s="25"/>
      <c r="AO37" s="25"/>
      <c r="AP37" s="25"/>
      <c r="AQ37" s="25"/>
      <c r="AR37" s="25"/>
      <c r="AS37" s="25"/>
      <c r="AT37" s="25"/>
      <c r="AU37" s="25"/>
      <c r="AV37" s="25"/>
      <c r="AW37" s="25"/>
    </row>
    <row r="38" spans="1:49" s="13" customFormat="1">
      <c r="A38" s="13">
        <v>12</v>
      </c>
      <c r="B38" s="13">
        <v>0</v>
      </c>
      <c r="C38" s="294" t="s">
        <v>322</v>
      </c>
      <c r="D38" s="294" t="s">
        <v>321</v>
      </c>
      <c r="E38" s="294" t="s">
        <v>107</v>
      </c>
      <c r="F38" s="294" t="s">
        <v>121</v>
      </c>
      <c r="G38" s="350">
        <v>4</v>
      </c>
      <c r="H38" s="351">
        <v>4</v>
      </c>
      <c r="I38">
        <v>0</v>
      </c>
      <c r="J38" s="13">
        <v>0</v>
      </c>
      <c r="K38" s="305">
        <v>5.8008211978712296</v>
      </c>
      <c r="L38" s="305">
        <v>2.3797619047619047</v>
      </c>
      <c r="M38" s="305">
        <v>1.8887668039942545</v>
      </c>
      <c r="N38" s="305">
        <v>4.5566536559189181</v>
      </c>
      <c r="O38" s="311">
        <v>162</v>
      </c>
      <c r="P38" s="305">
        <v>5.3875000000000002</v>
      </c>
      <c r="Q38" s="305">
        <v>5.8773188806585246</v>
      </c>
      <c r="R38" s="312">
        <v>139</v>
      </c>
      <c r="S38" s="305">
        <v>2.0665324641316101</v>
      </c>
      <c r="T38" s="305">
        <v>3.6131308810949525</v>
      </c>
      <c r="U38" s="305">
        <v>4.2857142857142856</v>
      </c>
      <c r="V38" s="305">
        <v>4.7619047619047619</v>
      </c>
      <c r="W38" s="312">
        <v>142</v>
      </c>
      <c r="X38" s="313">
        <v>443</v>
      </c>
      <c r="Y38" s="236">
        <f t="shared" si="1"/>
        <v>13.215640369506504</v>
      </c>
      <c r="Z38" s="25"/>
      <c r="AA38" s="25"/>
      <c r="AB38" s="25"/>
      <c r="AC38" s="25"/>
      <c r="AD38" s="25"/>
      <c r="AE38" s="25"/>
      <c r="AF38" s="25"/>
      <c r="AG38" s="25"/>
      <c r="AH38" s="25"/>
      <c r="AI38" s="25"/>
      <c r="AJ38" s="25"/>
      <c r="AK38" s="25"/>
      <c r="AL38" s="25"/>
      <c r="AM38" s="25"/>
      <c r="AN38" s="25"/>
      <c r="AO38" s="25"/>
      <c r="AP38" s="25"/>
      <c r="AQ38" s="25"/>
      <c r="AR38" s="25"/>
      <c r="AS38" s="25"/>
      <c r="AT38" s="25"/>
      <c r="AU38" s="25"/>
      <c r="AV38" s="25"/>
      <c r="AW38" s="25"/>
    </row>
    <row r="39" spans="1:49" s="13" customFormat="1">
      <c r="A39" s="13">
        <v>14</v>
      </c>
      <c r="B39" s="13">
        <v>0</v>
      </c>
      <c r="C39" s="294" t="s">
        <v>249</v>
      </c>
      <c r="D39" s="294" t="s">
        <v>248</v>
      </c>
      <c r="E39" s="294" t="s">
        <v>107</v>
      </c>
      <c r="F39" s="294" t="s">
        <v>122</v>
      </c>
      <c r="G39" s="350">
        <v>4</v>
      </c>
      <c r="H39" s="351">
        <v>3</v>
      </c>
      <c r="I39">
        <v>0</v>
      </c>
      <c r="J39" s="13">
        <v>0</v>
      </c>
      <c r="K39" s="20">
        <v>7.3790424920186144</v>
      </c>
      <c r="L39" s="20">
        <v>3.5142857142857142</v>
      </c>
      <c r="M39" s="20">
        <v>1.7479680390824568</v>
      </c>
      <c r="N39" s="20">
        <v>5.3848876994595951</v>
      </c>
      <c r="O39" s="311">
        <v>132</v>
      </c>
      <c r="P39" s="20">
        <v>6.375882231404959</v>
      </c>
      <c r="Q39" s="20">
        <v>6.5389850998757035</v>
      </c>
      <c r="R39" s="312">
        <v>107</v>
      </c>
      <c r="S39" s="20">
        <v>3.1127766774817647</v>
      </c>
      <c r="T39" s="20">
        <v>3.6020102651839174</v>
      </c>
      <c r="U39" s="20">
        <v>5</v>
      </c>
      <c r="V39" s="20">
        <v>5.7142857142857135</v>
      </c>
      <c r="W39" s="312">
        <v>135</v>
      </c>
      <c r="X39" s="313">
        <v>374</v>
      </c>
      <c r="Y39" s="236">
        <f t="shared" si="1"/>
        <v>15.402799250325149</v>
      </c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5"/>
      <c r="AR39" s="25"/>
      <c r="AS39" s="25"/>
      <c r="AT39" s="25"/>
      <c r="AU39" s="25"/>
      <c r="AV39" s="25"/>
      <c r="AW39" s="25"/>
    </row>
    <row r="40" spans="1:49" s="13" customFormat="1">
      <c r="A40" s="13">
        <v>15</v>
      </c>
      <c r="B40" s="13">
        <v>0</v>
      </c>
      <c r="C40" s="294" t="s">
        <v>502</v>
      </c>
      <c r="D40" s="294" t="s">
        <v>501</v>
      </c>
      <c r="E40" s="294" t="s">
        <v>107</v>
      </c>
      <c r="F40" s="294" t="s">
        <v>122</v>
      </c>
      <c r="G40" s="350">
        <v>4</v>
      </c>
      <c r="H40" s="351">
        <v>3</v>
      </c>
      <c r="I40">
        <v>0</v>
      </c>
      <c r="J40" s="13">
        <v>0</v>
      </c>
      <c r="K40" s="305">
        <v>5.0138317990138521</v>
      </c>
      <c r="L40" s="305">
        <v>5.0535714285714288</v>
      </c>
      <c r="M40" s="305">
        <v>1.9928354563203659</v>
      </c>
      <c r="N40" s="305">
        <v>4.7577103812746788</v>
      </c>
      <c r="O40" s="311">
        <v>142</v>
      </c>
      <c r="P40" s="305">
        <v>7.2840640495867772</v>
      </c>
      <c r="Q40" s="305">
        <v>6.9543055486183896</v>
      </c>
      <c r="R40" s="312">
        <v>52</v>
      </c>
      <c r="S40" s="305">
        <v>2.6344580809337277</v>
      </c>
      <c r="T40" s="305">
        <v>2.9144568006843459</v>
      </c>
      <c r="U40" s="305">
        <v>3.5714285714285716</v>
      </c>
      <c r="V40" s="305">
        <v>3.5714285714285716</v>
      </c>
      <c r="W40" s="312">
        <v>155</v>
      </c>
      <c r="X40" s="313">
        <v>349</v>
      </c>
      <c r="Y40" s="236">
        <f t="shared" si="1"/>
        <v>14.331735821032275</v>
      </c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5"/>
      <c r="AR40" s="25"/>
      <c r="AS40" s="25"/>
      <c r="AT40" s="25"/>
      <c r="AU40" s="25"/>
      <c r="AV40" s="25"/>
      <c r="AW40" s="25"/>
    </row>
    <row r="41" spans="1:49" s="13" customFormat="1">
      <c r="A41" s="13">
        <v>16</v>
      </c>
      <c r="B41" s="13">
        <v>0</v>
      </c>
      <c r="C41" s="294" t="s">
        <v>267</v>
      </c>
      <c r="D41" s="294" t="s">
        <v>266</v>
      </c>
      <c r="E41" s="294" t="s">
        <v>106</v>
      </c>
      <c r="F41" s="294" t="s">
        <v>106</v>
      </c>
      <c r="G41" s="350">
        <v>4</v>
      </c>
      <c r="H41" s="351">
        <v>3</v>
      </c>
      <c r="I41">
        <v>0</v>
      </c>
      <c r="J41" s="13">
        <v>0</v>
      </c>
      <c r="K41" s="20">
        <v>6.6059774343279658</v>
      </c>
      <c r="L41" s="20">
        <v>3.6235714285714282</v>
      </c>
      <c r="M41" s="20">
        <v>1.2228190286151701</v>
      </c>
      <c r="N41" s="20">
        <v>3.0596112977682495</v>
      </c>
      <c r="O41" s="311">
        <v>163</v>
      </c>
      <c r="P41" s="20">
        <v>7.0455640495867771</v>
      </c>
      <c r="Q41" s="20">
        <v>5.7483760673523978</v>
      </c>
      <c r="R41" s="312">
        <v>114</v>
      </c>
      <c r="S41" s="20">
        <v>3.8536543818407463</v>
      </c>
      <c r="T41" s="20">
        <v>4.5059880239520957</v>
      </c>
      <c r="U41" s="20">
        <v>5.3571428571428568</v>
      </c>
      <c r="V41" s="20">
        <v>6.7857142857142865</v>
      </c>
      <c r="W41" s="312">
        <v>96</v>
      </c>
      <c r="X41" s="313">
        <v>373</v>
      </c>
      <c r="Y41" s="236">
        <f t="shared" si="1"/>
        <v>14.501995751835597</v>
      </c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5"/>
      <c r="AR41" s="25"/>
      <c r="AS41" s="25"/>
      <c r="AT41" s="25"/>
      <c r="AU41" s="25"/>
      <c r="AV41" s="25"/>
      <c r="AW41" s="25"/>
    </row>
    <row r="42" spans="1:49" s="13" customFormat="1">
      <c r="A42" s="13">
        <v>17</v>
      </c>
      <c r="B42" s="13">
        <v>0</v>
      </c>
      <c r="C42" s="294" t="s">
        <v>584</v>
      </c>
      <c r="D42" s="294" t="s">
        <v>583</v>
      </c>
      <c r="E42" s="294" t="s">
        <v>111</v>
      </c>
      <c r="F42" s="294" t="s">
        <v>110</v>
      </c>
      <c r="G42" s="350">
        <v>2</v>
      </c>
      <c r="H42" s="351">
        <v>2</v>
      </c>
      <c r="I42">
        <v>0</v>
      </c>
      <c r="J42" s="13">
        <v>0</v>
      </c>
      <c r="K42" s="305">
        <v>7.7718957029678251</v>
      </c>
      <c r="L42" s="305">
        <v>6.3238095238095235</v>
      </c>
      <c r="M42" s="305">
        <v>4.7017224792933501</v>
      </c>
      <c r="N42" s="305">
        <v>6.6159734992273105</v>
      </c>
      <c r="O42" s="311">
        <v>15</v>
      </c>
      <c r="P42" s="305">
        <v>7.8667954545454544</v>
      </c>
      <c r="Q42" s="305">
        <v>7.4650955902172731</v>
      </c>
      <c r="R42" s="312">
        <v>13</v>
      </c>
      <c r="S42" s="305">
        <v>3.5207382994206853</v>
      </c>
      <c r="T42" s="305">
        <v>6.1465640148274883</v>
      </c>
      <c r="U42" s="305">
        <v>7.6190476190476186</v>
      </c>
      <c r="V42" s="305">
        <v>8.0952380952380949</v>
      </c>
      <c r="W42" s="312">
        <v>40</v>
      </c>
      <c r="X42" s="313">
        <v>68</v>
      </c>
      <c r="Y42" s="236">
        <f t="shared" si="1"/>
        <v>20.163842898675249</v>
      </c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5"/>
      <c r="AR42" s="25"/>
      <c r="AS42" s="25"/>
      <c r="AT42" s="25"/>
      <c r="AU42" s="25"/>
      <c r="AV42" s="25"/>
      <c r="AW42" s="25"/>
    </row>
    <row r="43" spans="1:49" s="13" customFormat="1">
      <c r="A43" s="13">
        <v>18</v>
      </c>
      <c r="B43" s="13">
        <v>0</v>
      </c>
      <c r="C43" s="294" t="s">
        <v>362</v>
      </c>
      <c r="D43" s="294" t="s">
        <v>361</v>
      </c>
      <c r="E43" s="294" t="s">
        <v>113</v>
      </c>
      <c r="F43" s="294" t="s">
        <v>114</v>
      </c>
      <c r="G43" s="350">
        <v>1</v>
      </c>
      <c r="H43" s="351">
        <v>2</v>
      </c>
      <c r="I43">
        <v>0</v>
      </c>
      <c r="J43" s="13">
        <v>0</v>
      </c>
      <c r="K43" s="20">
        <v>6.5496903422275325</v>
      </c>
      <c r="L43" s="20">
        <v>5.5571428571428569</v>
      </c>
      <c r="M43" s="20">
        <v>3.0994091186665176</v>
      </c>
      <c r="N43" s="20">
        <v>4.5275392279586555</v>
      </c>
      <c r="O43" s="311">
        <v>103</v>
      </c>
      <c r="P43" s="20">
        <v>7.3911342975206615</v>
      </c>
      <c r="Q43" s="20">
        <v>8.4829993626294193</v>
      </c>
      <c r="R43" s="312">
        <v>6</v>
      </c>
      <c r="S43" s="20">
        <v>3.0620861615364636</v>
      </c>
      <c r="T43" s="20">
        <v>3.659538066723695</v>
      </c>
      <c r="U43" s="20">
        <v>5.7142857142857135</v>
      </c>
      <c r="V43" s="20">
        <v>5.7142857142857135</v>
      </c>
      <c r="W43" s="312">
        <v>124</v>
      </c>
      <c r="X43" s="313">
        <v>233</v>
      </c>
      <c r="Y43" s="236">
        <f t="shared" si="1"/>
        <v>17.953993663336206</v>
      </c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5"/>
      <c r="AR43" s="25"/>
      <c r="AS43" s="25"/>
      <c r="AT43" s="25"/>
      <c r="AU43" s="25"/>
      <c r="AV43" s="25"/>
      <c r="AW43" s="25"/>
    </row>
    <row r="44" spans="1:49" s="13" customFormat="1">
      <c r="A44" s="13">
        <v>19</v>
      </c>
      <c r="B44" s="13">
        <v>0</v>
      </c>
      <c r="C44" s="294" t="s">
        <v>630</v>
      </c>
      <c r="D44" s="294" t="s">
        <v>123</v>
      </c>
      <c r="E44" s="294" t="s">
        <v>115</v>
      </c>
      <c r="F44" s="294" t="s">
        <v>118</v>
      </c>
      <c r="G44" s="350">
        <v>2</v>
      </c>
      <c r="H44" s="351">
        <v>2</v>
      </c>
      <c r="I44">
        <v>0</v>
      </c>
      <c r="J44" s="13">
        <v>0</v>
      </c>
      <c r="K44" s="20">
        <v>7.7248148496889568</v>
      </c>
      <c r="L44" s="20">
        <v>4.6309523809523814</v>
      </c>
      <c r="M44" s="20">
        <v>3.4008231054383442</v>
      </c>
      <c r="N44" s="20">
        <v>7.2237730088603875</v>
      </c>
      <c r="O44" s="311">
        <v>43</v>
      </c>
      <c r="P44" s="20">
        <v>7.422634297520661</v>
      </c>
      <c r="Q44" s="20">
        <v>8.0277194499406299</v>
      </c>
      <c r="R44" s="312">
        <v>10</v>
      </c>
      <c r="S44" s="20">
        <v>4.0056242506392898</v>
      </c>
      <c r="T44" s="20">
        <v>4.3497291132021667</v>
      </c>
      <c r="U44" s="20">
        <v>4.2857142857142856</v>
      </c>
      <c r="V44" s="20">
        <v>7.7142857142857144</v>
      </c>
      <c r="W44" s="312">
        <v>99</v>
      </c>
      <c r="X44" s="313">
        <v>152</v>
      </c>
      <c r="Y44" s="236">
        <f t="shared" si="1"/>
        <v>18.861648627136013</v>
      </c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5"/>
      <c r="AR44" s="25"/>
      <c r="AS44" s="25"/>
      <c r="AT44" s="25"/>
      <c r="AU44" s="25"/>
      <c r="AV44" s="25"/>
      <c r="AW44" s="25"/>
    </row>
    <row r="45" spans="1:49" s="13" customFormat="1">
      <c r="A45" s="13">
        <v>20</v>
      </c>
      <c r="B45" s="13">
        <v>0</v>
      </c>
      <c r="C45" s="294" t="s">
        <v>452</v>
      </c>
      <c r="D45" s="294" t="s">
        <v>451</v>
      </c>
      <c r="E45" s="294" t="s">
        <v>109</v>
      </c>
      <c r="F45" s="294" t="s">
        <v>110</v>
      </c>
      <c r="G45" s="350">
        <v>2</v>
      </c>
      <c r="H45" s="351">
        <v>3</v>
      </c>
      <c r="I45">
        <v>0</v>
      </c>
      <c r="J45" s="13">
        <v>0</v>
      </c>
      <c r="K45" s="20">
        <v>4.9814122986246216</v>
      </c>
      <c r="L45" s="20">
        <v>4.9333333333333336</v>
      </c>
      <c r="M45" s="20">
        <v>2.6083869885694133</v>
      </c>
      <c r="N45" s="20">
        <v>5.8249947841402729</v>
      </c>
      <c r="O45" s="311">
        <v>130</v>
      </c>
      <c r="P45" s="20">
        <v>7.3281342975206609</v>
      </c>
      <c r="Q45" s="20">
        <v>6.3080371311597228</v>
      </c>
      <c r="R45" s="312">
        <v>75</v>
      </c>
      <c r="S45" s="20">
        <v>3.1669581425680291</v>
      </c>
      <c r="T45" s="20">
        <v>4.6449244368406042</v>
      </c>
      <c r="U45" s="20">
        <v>6.6666666666666679</v>
      </c>
      <c r="V45" s="20">
        <v>6.6666666666666679</v>
      </c>
      <c r="W45" s="312">
        <v>89</v>
      </c>
      <c r="X45" s="313">
        <v>294</v>
      </c>
      <c r="Y45" s="236">
        <f t="shared" si="1"/>
        <v>16.181372960512128</v>
      </c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5"/>
      <c r="AR45" s="25"/>
      <c r="AS45" s="25"/>
      <c r="AT45" s="25"/>
      <c r="AU45" s="25"/>
      <c r="AV45" s="25"/>
      <c r="AW45" s="25"/>
    </row>
    <row r="46" spans="1:49" s="13" customFormat="1">
      <c r="A46" s="13">
        <v>21</v>
      </c>
      <c r="B46" s="13">
        <v>0</v>
      </c>
      <c r="C46" s="294" t="s">
        <v>412</v>
      </c>
      <c r="D46" s="294" t="s">
        <v>411</v>
      </c>
      <c r="E46" s="294" t="s">
        <v>109</v>
      </c>
      <c r="F46" s="294" t="s">
        <v>117</v>
      </c>
      <c r="G46" s="350">
        <v>2</v>
      </c>
      <c r="H46" s="351">
        <v>2</v>
      </c>
      <c r="I46">
        <v>0</v>
      </c>
      <c r="J46" s="13">
        <v>0</v>
      </c>
      <c r="K46" s="305">
        <v>8.4326484282398546</v>
      </c>
      <c r="L46" s="305">
        <v>4.2142857142857144</v>
      </c>
      <c r="M46" s="305">
        <v>6.7820221989042473</v>
      </c>
      <c r="N46" s="305">
        <v>6.1653760018547157</v>
      </c>
      <c r="O46" s="311">
        <v>14</v>
      </c>
      <c r="P46" s="305">
        <v>7.4463243801652892</v>
      </c>
      <c r="Q46" s="305">
        <v>5.4992427028091537</v>
      </c>
      <c r="R46" s="312">
        <v>106</v>
      </c>
      <c r="S46" s="305">
        <v>2.5196360694265398</v>
      </c>
      <c r="T46" s="305">
        <v>4.5466210436270318</v>
      </c>
      <c r="U46" s="305">
        <v>5.7142857142857135</v>
      </c>
      <c r="V46" s="305">
        <v>5.7142857142857135</v>
      </c>
      <c r="W46" s="312">
        <v>120</v>
      </c>
      <c r="X46" s="313">
        <v>240</v>
      </c>
      <c r="Y46" s="236">
        <f t="shared" si="1"/>
        <v>16.521532924036535</v>
      </c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</row>
    <row r="47" spans="1:49" s="13" customFormat="1">
      <c r="A47" s="13">
        <v>22</v>
      </c>
      <c r="B47" s="13">
        <v>0</v>
      </c>
      <c r="C47" s="294" t="s">
        <v>612</v>
      </c>
      <c r="D47" s="294" t="s">
        <v>611</v>
      </c>
      <c r="E47" s="294" t="s">
        <v>115</v>
      </c>
      <c r="F47" s="294" t="s">
        <v>124</v>
      </c>
      <c r="G47" s="350">
        <v>2</v>
      </c>
      <c r="H47" s="351">
        <v>3</v>
      </c>
      <c r="I47">
        <v>0</v>
      </c>
      <c r="J47" s="13">
        <v>0</v>
      </c>
      <c r="K47" s="20">
        <v>8.0071137744382579</v>
      </c>
      <c r="L47" s="20">
        <v>5.1350649350649347</v>
      </c>
      <c r="M47" s="20">
        <v>2.1764860192487978</v>
      </c>
      <c r="N47" s="20">
        <v>6.2757076458308623</v>
      </c>
      <c r="O47" s="311">
        <v>67</v>
      </c>
      <c r="P47" s="20">
        <v>7.2178842975206603</v>
      </c>
      <c r="Q47" s="20">
        <v>7.3068364340486625</v>
      </c>
      <c r="R47" s="312">
        <v>37</v>
      </c>
      <c r="S47" s="20">
        <v>4.1305762644636692</v>
      </c>
      <c r="T47" s="20">
        <v>6.2013570262073259</v>
      </c>
      <c r="U47" s="20">
        <v>5</v>
      </c>
      <c r="V47" s="20">
        <v>8.2467532467532472</v>
      </c>
      <c r="W47" s="312">
        <v>55</v>
      </c>
      <c r="X47" s="313">
        <v>159</v>
      </c>
      <c r="Y47" s="236">
        <f t="shared" si="1"/>
        <v>18.600101162050436</v>
      </c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</row>
    <row r="48" spans="1:49" s="13" customFormat="1">
      <c r="A48" s="13">
        <v>23</v>
      </c>
      <c r="B48" s="13">
        <v>0</v>
      </c>
      <c r="C48" s="294" t="s">
        <v>424</v>
      </c>
      <c r="D48" s="294" t="s">
        <v>423</v>
      </c>
      <c r="E48" s="294" t="s">
        <v>115</v>
      </c>
      <c r="F48" s="294" t="s">
        <v>116</v>
      </c>
      <c r="G48" s="350">
        <v>3</v>
      </c>
      <c r="H48" s="351">
        <v>3</v>
      </c>
      <c r="I48">
        <v>0</v>
      </c>
      <c r="J48" s="13">
        <v>0</v>
      </c>
      <c r="K48" s="305">
        <v>7.0234943639063285</v>
      </c>
      <c r="L48" s="305">
        <v>5.1428571428571423</v>
      </c>
      <c r="M48" s="305">
        <v>2.1152691649393205</v>
      </c>
      <c r="N48" s="305">
        <v>6.3062466187696717</v>
      </c>
      <c r="O48" s="311">
        <v>85</v>
      </c>
      <c r="P48" s="305">
        <v>6.72593388429752</v>
      </c>
      <c r="Q48" s="305">
        <v>6.3592802876689873</v>
      </c>
      <c r="R48" s="312">
        <v>95</v>
      </c>
      <c r="S48" s="305">
        <v>3.6203378887178612</v>
      </c>
      <c r="T48" s="305">
        <v>5.7401625320786991</v>
      </c>
      <c r="U48" s="305">
        <v>3.5714285714285716</v>
      </c>
      <c r="V48" s="305">
        <v>7.6428571428571423</v>
      </c>
      <c r="W48" s="312">
        <v>95</v>
      </c>
      <c r="X48" s="313">
        <v>275</v>
      </c>
      <c r="Y48" s="236">
        <f t="shared" si="1"/>
        <v>16.649943644057672</v>
      </c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5"/>
      <c r="AR48" s="25"/>
      <c r="AS48" s="25"/>
      <c r="AT48" s="25"/>
      <c r="AU48" s="25"/>
      <c r="AV48" s="25"/>
      <c r="AW48" s="25"/>
    </row>
    <row r="49" spans="1:49" s="13" customFormat="1">
      <c r="A49" s="13">
        <v>24</v>
      </c>
      <c r="B49" s="13">
        <v>0</v>
      </c>
      <c r="C49" s="294" t="s">
        <v>662</v>
      </c>
      <c r="D49" s="294" t="s">
        <v>661</v>
      </c>
      <c r="E49" s="294" t="s">
        <v>115</v>
      </c>
      <c r="F49" s="294" t="s">
        <v>116</v>
      </c>
      <c r="G49" s="350">
        <v>2</v>
      </c>
      <c r="H49" s="351">
        <v>2</v>
      </c>
      <c r="I49">
        <v>0</v>
      </c>
      <c r="J49" s="13">
        <v>0</v>
      </c>
      <c r="K49" s="20">
        <v>8.2612886794559017</v>
      </c>
      <c r="L49" s="20">
        <v>5.7415966386554622</v>
      </c>
      <c r="M49" s="20">
        <v>2.9110882709625256</v>
      </c>
      <c r="N49" s="20">
        <v>7.2280639181015918</v>
      </c>
      <c r="O49" s="311">
        <v>30</v>
      </c>
      <c r="P49" s="20">
        <v>4.8752438016528927</v>
      </c>
      <c r="Q49" s="20">
        <v>6.6722611095911724</v>
      </c>
      <c r="R49" s="312">
        <v>136</v>
      </c>
      <c r="S49" s="20">
        <v>4.6285340798352275</v>
      </c>
      <c r="T49" s="20">
        <v>7.2593720122779652</v>
      </c>
      <c r="U49" s="20">
        <v>5.0420168067226889</v>
      </c>
      <c r="V49" s="20">
        <v>6.9327731092436986</v>
      </c>
      <c r="W49" s="312">
        <v>52</v>
      </c>
      <c r="X49" s="313">
        <v>218</v>
      </c>
      <c r="Y49" s="236">
        <f t="shared" si="1"/>
        <v>18.67344448840494</v>
      </c>
      <c r="Z49" s="25"/>
      <c r="AA49" s="25"/>
      <c r="AB49" s="25"/>
      <c r="AC49" s="25"/>
      <c r="AD49" s="25"/>
      <c r="AE49" s="25"/>
      <c r="AF49" s="25"/>
      <c r="AG49" s="25"/>
      <c r="AH49" s="25"/>
      <c r="AI49" s="25"/>
      <c r="AJ49" s="25"/>
      <c r="AK49" s="25"/>
      <c r="AL49" s="25"/>
      <c r="AM49" s="25"/>
      <c r="AN49" s="25"/>
      <c r="AO49" s="25"/>
      <c r="AP49" s="25"/>
      <c r="AQ49" s="25"/>
      <c r="AR49" s="25"/>
      <c r="AS49" s="25"/>
      <c r="AT49" s="25"/>
      <c r="AU49" s="25"/>
      <c r="AV49" s="25"/>
      <c r="AW49" s="25"/>
    </row>
    <row r="50" spans="1:49" s="13" customFormat="1">
      <c r="A50" s="13">
        <v>25</v>
      </c>
      <c r="B50" s="13">
        <v>0</v>
      </c>
      <c r="C50" s="294" t="s">
        <v>604</v>
      </c>
      <c r="D50" s="294" t="s">
        <v>603</v>
      </c>
      <c r="E50" s="294" t="s">
        <v>115</v>
      </c>
      <c r="F50" s="294" t="s">
        <v>118</v>
      </c>
      <c r="G50" s="350">
        <v>1</v>
      </c>
      <c r="H50" s="351">
        <v>2</v>
      </c>
      <c r="I50">
        <v>0</v>
      </c>
      <c r="J50" s="13">
        <v>0</v>
      </c>
      <c r="K50" s="305">
        <v>7.867433303399606</v>
      </c>
      <c r="L50" s="305">
        <v>7.3392857142857144</v>
      </c>
      <c r="M50" s="305">
        <v>5.4821961519605722</v>
      </c>
      <c r="N50" s="305">
        <v>4.6455109114959523</v>
      </c>
      <c r="O50" s="311">
        <v>16</v>
      </c>
      <c r="P50" s="305">
        <v>7.4271342975206611</v>
      </c>
      <c r="Q50" s="305">
        <v>8.1553639146795902</v>
      </c>
      <c r="R50" s="312">
        <v>9</v>
      </c>
      <c r="S50" s="305">
        <v>4.6836353361411467</v>
      </c>
      <c r="T50" s="305">
        <v>4.2544910179640718</v>
      </c>
      <c r="U50" s="305">
        <v>4.8214285714285712</v>
      </c>
      <c r="V50" s="305">
        <v>7.4285714285714288</v>
      </c>
      <c r="W50" s="312">
        <v>87</v>
      </c>
      <c r="X50" s="313">
        <v>112</v>
      </c>
      <c r="Y50" s="236">
        <f t="shared" si="1"/>
        <v>19.786002023491356</v>
      </c>
      <c r="Z50" s="25"/>
      <c r="AA50" s="25"/>
      <c r="AB50" s="25"/>
      <c r="AC50" s="25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25"/>
      <c r="AP50" s="25"/>
      <c r="AQ50" s="25"/>
      <c r="AR50" s="25"/>
      <c r="AS50" s="25"/>
      <c r="AT50" s="25"/>
      <c r="AU50" s="25"/>
      <c r="AV50" s="25"/>
      <c r="AW50" s="25"/>
    </row>
    <row r="51" spans="1:49" s="13" customFormat="1">
      <c r="A51" s="13">
        <v>26</v>
      </c>
      <c r="B51" s="13">
        <v>0</v>
      </c>
      <c r="C51" s="294" t="s">
        <v>448</v>
      </c>
      <c r="D51" s="294" t="s">
        <v>447</v>
      </c>
      <c r="E51" s="294" t="s">
        <v>119</v>
      </c>
      <c r="F51" s="294" t="s">
        <v>125</v>
      </c>
      <c r="G51" s="350">
        <v>1</v>
      </c>
      <c r="H51" s="351">
        <v>2</v>
      </c>
      <c r="I51">
        <v>0</v>
      </c>
      <c r="J51" s="13">
        <v>0</v>
      </c>
      <c r="K51" s="305">
        <v>6.4914642999775989</v>
      </c>
      <c r="L51" s="305">
        <v>2.8571428571428568</v>
      </c>
      <c r="M51" s="305">
        <v>3.1498340027694876</v>
      </c>
      <c r="N51" s="305">
        <v>5.9782255515078333</v>
      </c>
      <c r="O51" s="311">
        <v>124</v>
      </c>
      <c r="P51" s="305">
        <v>6.550303719008264</v>
      </c>
      <c r="Q51" s="305">
        <v>1</v>
      </c>
      <c r="R51" s="312">
        <v>158</v>
      </c>
      <c r="S51" s="305">
        <v>3.4069561374193693</v>
      </c>
      <c r="T51" s="305">
        <v>5.7508554319931555</v>
      </c>
      <c r="U51" s="305">
        <v>8.5714285714285712</v>
      </c>
      <c r="V51" s="305">
        <v>5.7142857142857135</v>
      </c>
      <c r="W51" s="312">
        <v>58</v>
      </c>
      <c r="X51" s="313">
        <v>340</v>
      </c>
      <c r="Y51" s="236">
        <f t="shared" si="1"/>
        <v>11.480048141631146</v>
      </c>
      <c r="Z51" s="25"/>
      <c r="AA51" s="25"/>
      <c r="AB51" s="25"/>
      <c r="AC51" s="25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25"/>
      <c r="AP51" s="25"/>
      <c r="AQ51" s="25"/>
      <c r="AR51" s="25"/>
      <c r="AS51" s="25"/>
      <c r="AT51" s="25"/>
      <c r="AU51" s="25"/>
      <c r="AV51" s="25"/>
      <c r="AW51" s="25"/>
    </row>
    <row r="52" spans="1:49" s="13" customFormat="1">
      <c r="A52" s="13">
        <v>27</v>
      </c>
      <c r="B52" s="13">
        <v>0</v>
      </c>
      <c r="C52" s="294" t="s">
        <v>614</v>
      </c>
      <c r="D52" s="294" t="s">
        <v>613</v>
      </c>
      <c r="E52" s="294" t="s">
        <v>106</v>
      </c>
      <c r="F52" s="294" t="s">
        <v>106</v>
      </c>
      <c r="G52" s="350">
        <v>3</v>
      </c>
      <c r="H52" s="351">
        <v>3</v>
      </c>
      <c r="I52">
        <v>0</v>
      </c>
      <c r="J52" s="13">
        <v>0</v>
      </c>
      <c r="K52" s="20">
        <v>7.0846242258540908</v>
      </c>
      <c r="L52" s="20">
        <v>7.5642857142857149</v>
      </c>
      <c r="M52" s="20">
        <v>1.5150214592274678</v>
      </c>
      <c r="N52" s="20">
        <v>6.1874873295655428</v>
      </c>
      <c r="O52" s="311">
        <v>55</v>
      </c>
      <c r="P52" s="20">
        <v>7.4172045454545454</v>
      </c>
      <c r="Q52" s="20">
        <v>6.7741135825293162</v>
      </c>
      <c r="R52" s="312">
        <v>54</v>
      </c>
      <c r="S52" s="20">
        <v>3.7570867975994831</v>
      </c>
      <c r="T52" s="20">
        <v>6.8789563729683492</v>
      </c>
      <c r="U52" s="20">
        <v>9.2142857142857153</v>
      </c>
      <c r="V52" s="20">
        <v>9.6428571428571423</v>
      </c>
      <c r="W52" s="312">
        <v>4</v>
      </c>
      <c r="X52" s="313">
        <v>113</v>
      </c>
      <c r="Y52" s="236">
        <f t="shared" si="1"/>
        <v>19.735264771690193</v>
      </c>
      <c r="Z52" s="25"/>
      <c r="AA52" s="25"/>
      <c r="AB52" s="25"/>
      <c r="AC52" s="25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25"/>
      <c r="AP52" s="25"/>
      <c r="AQ52" s="25"/>
      <c r="AR52" s="25"/>
      <c r="AS52" s="25"/>
      <c r="AT52" s="25"/>
      <c r="AU52" s="25"/>
      <c r="AV52" s="25"/>
      <c r="AW52" s="25"/>
    </row>
    <row r="53" spans="1:49" s="13" customFormat="1">
      <c r="A53" s="13">
        <v>28</v>
      </c>
      <c r="B53" s="13">
        <v>0</v>
      </c>
      <c r="C53" s="294" t="s">
        <v>586</v>
      </c>
      <c r="D53" s="294" t="s">
        <v>585</v>
      </c>
      <c r="E53" s="294" t="s">
        <v>107</v>
      </c>
      <c r="F53" s="294" t="s">
        <v>108</v>
      </c>
      <c r="G53" s="350">
        <v>3</v>
      </c>
      <c r="H53" s="351">
        <v>2</v>
      </c>
      <c r="I53">
        <v>0</v>
      </c>
      <c r="J53" s="13">
        <v>0</v>
      </c>
      <c r="K53" s="305">
        <v>6.1708863142265873</v>
      </c>
      <c r="L53" s="305">
        <v>7.6857142857142851</v>
      </c>
      <c r="M53" s="305">
        <v>2.9110882709625256</v>
      </c>
      <c r="N53" s="305">
        <v>6.6970136215558576</v>
      </c>
      <c r="O53" s="311">
        <v>36</v>
      </c>
      <c r="P53" s="305">
        <v>7.0237334710743804</v>
      </c>
      <c r="Q53" s="305">
        <v>7.9688798451247962</v>
      </c>
      <c r="R53" s="312">
        <v>23</v>
      </c>
      <c r="S53" s="305">
        <v>2.6075341539115597</v>
      </c>
      <c r="T53" s="305">
        <v>6.3552181351582551</v>
      </c>
      <c r="U53" s="305">
        <v>9.2857142857142865</v>
      </c>
      <c r="V53" s="305">
        <v>8.7678571428571423</v>
      </c>
      <c r="W53" s="312">
        <v>24</v>
      </c>
      <c r="X53" s="313">
        <v>83</v>
      </c>
      <c r="Y53" s="236">
        <f t="shared" si="1"/>
        <v>20.58913639764992</v>
      </c>
      <c r="Z53" s="25"/>
      <c r="AA53" s="25"/>
      <c r="AB53" s="25"/>
      <c r="AC53" s="25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25"/>
      <c r="AP53" s="25"/>
      <c r="AQ53" s="25"/>
      <c r="AR53" s="25"/>
      <c r="AS53" s="25"/>
      <c r="AT53" s="25"/>
      <c r="AU53" s="25"/>
      <c r="AV53" s="25"/>
      <c r="AW53" s="25"/>
    </row>
    <row r="54" spans="1:49" s="13" customFormat="1">
      <c r="A54" s="13">
        <v>29</v>
      </c>
      <c r="B54" s="13">
        <v>0</v>
      </c>
      <c r="C54" s="294" t="s">
        <v>298</v>
      </c>
      <c r="D54" s="294" t="s">
        <v>297</v>
      </c>
      <c r="E54" s="294" t="s">
        <v>107</v>
      </c>
      <c r="F54" s="294" t="s">
        <v>126</v>
      </c>
      <c r="G54" s="350">
        <v>4</v>
      </c>
      <c r="H54" s="351">
        <v>3</v>
      </c>
      <c r="I54">
        <v>0</v>
      </c>
      <c r="J54" s="13">
        <v>0</v>
      </c>
      <c r="K54" s="305">
        <v>5.8700843741568143</v>
      </c>
      <c r="L54" s="305">
        <v>2.5857142857142859</v>
      </c>
      <c r="M54" s="305">
        <v>2.1764860192487978</v>
      </c>
      <c r="N54" s="305">
        <v>4.92313308206906</v>
      </c>
      <c r="O54" s="311">
        <v>155</v>
      </c>
      <c r="P54" s="305">
        <v>7.3066942148760337</v>
      </c>
      <c r="Q54" s="305">
        <v>5.8314463302469468</v>
      </c>
      <c r="R54" s="312">
        <v>92</v>
      </c>
      <c r="S54" s="305">
        <v>2.3439860738470837</v>
      </c>
      <c r="T54" s="305">
        <v>3.3674080410607354</v>
      </c>
      <c r="U54" s="305">
        <v>2.8571428571428568</v>
      </c>
      <c r="V54" s="305">
        <v>2.8571428571428568</v>
      </c>
      <c r="W54" s="312">
        <v>157</v>
      </c>
      <c r="X54" s="313">
        <v>404</v>
      </c>
      <c r="Y54" s="236">
        <f t="shared" si="1"/>
        <v>12.57672072784257</v>
      </c>
      <c r="Z54" s="25"/>
      <c r="AA54" s="25"/>
      <c r="AB54" s="25"/>
      <c r="AC54" s="25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25"/>
      <c r="AP54" s="25"/>
      <c r="AQ54" s="25"/>
      <c r="AR54" s="25"/>
      <c r="AS54" s="25"/>
      <c r="AT54" s="25"/>
      <c r="AU54" s="25"/>
      <c r="AV54" s="25"/>
      <c r="AW54" s="25"/>
    </row>
    <row r="55" spans="1:49" s="13" customFormat="1">
      <c r="A55" s="13">
        <v>32</v>
      </c>
      <c r="B55" s="13">
        <v>0</v>
      </c>
      <c r="C55" s="294" t="s">
        <v>578</v>
      </c>
      <c r="D55" s="294" t="s">
        <v>577</v>
      </c>
      <c r="E55" s="294" t="s">
        <v>115</v>
      </c>
      <c r="F55" s="294" t="s">
        <v>116</v>
      </c>
      <c r="G55" s="350">
        <v>2</v>
      </c>
      <c r="H55" s="351">
        <v>2</v>
      </c>
      <c r="I55">
        <v>0</v>
      </c>
      <c r="J55" s="13">
        <v>0</v>
      </c>
      <c r="K55" s="20">
        <v>8.0204535132139494</v>
      </c>
      <c r="L55" s="20">
        <v>7.867293233082707</v>
      </c>
      <c r="M55" s="20">
        <v>2.8498714166530483</v>
      </c>
      <c r="N55" s="20">
        <v>7.4660857097954683</v>
      </c>
      <c r="O55" s="311">
        <v>10</v>
      </c>
      <c r="P55" s="20">
        <v>7.2001446280991734</v>
      </c>
      <c r="Q55" s="20">
        <v>8.828942349135275</v>
      </c>
      <c r="R55" s="312">
        <v>4</v>
      </c>
      <c r="S55" s="20">
        <v>4.3065855797569554</v>
      </c>
      <c r="T55" s="20">
        <v>5.3858916060302757</v>
      </c>
      <c r="U55" s="20">
        <v>5.1503759398496243</v>
      </c>
      <c r="V55" s="20">
        <v>9.6096009253903976</v>
      </c>
      <c r="W55" s="312">
        <v>47</v>
      </c>
      <c r="X55" s="313">
        <v>61</v>
      </c>
      <c r="Y55" s="236">
        <f t="shared" si="1"/>
        <v>21.492981830078381</v>
      </c>
      <c r="Z55" s="25"/>
      <c r="AA55" s="25"/>
      <c r="AB55" s="25"/>
      <c r="AC55" s="25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25"/>
      <c r="AP55" s="25"/>
      <c r="AQ55" s="25"/>
      <c r="AR55" s="25"/>
      <c r="AS55" s="25"/>
      <c r="AT55" s="25"/>
      <c r="AU55" s="25"/>
      <c r="AV55" s="25"/>
      <c r="AW55" s="25"/>
    </row>
    <row r="56" spans="1:49" s="13" customFormat="1">
      <c r="A56" s="13">
        <v>33</v>
      </c>
      <c r="B56" s="13">
        <v>0</v>
      </c>
      <c r="C56" s="294" t="s">
        <v>400</v>
      </c>
      <c r="D56" s="294" t="s">
        <v>399</v>
      </c>
      <c r="E56" s="294" t="s">
        <v>119</v>
      </c>
      <c r="F56" s="294" t="s">
        <v>128</v>
      </c>
      <c r="G56" s="350">
        <v>3</v>
      </c>
      <c r="H56" s="351">
        <v>3</v>
      </c>
      <c r="I56">
        <v>0</v>
      </c>
      <c r="J56" s="13">
        <v>0</v>
      </c>
      <c r="K56" s="305">
        <v>6.5406875434031733</v>
      </c>
      <c r="L56" s="305">
        <v>6.4160714285714286</v>
      </c>
      <c r="M56" s="305">
        <v>2.3896548461730327</v>
      </c>
      <c r="N56" s="305">
        <v>6.2902575233947999</v>
      </c>
      <c r="O56" s="311">
        <v>66</v>
      </c>
      <c r="P56" s="305">
        <v>6.029066115702479</v>
      </c>
      <c r="Q56" s="305">
        <v>6.3228026664403956</v>
      </c>
      <c r="R56" s="312">
        <v>125</v>
      </c>
      <c r="S56" s="305">
        <v>4.5209292639571812</v>
      </c>
      <c r="T56" s="305">
        <v>8.6908147989734807</v>
      </c>
      <c r="U56" s="305">
        <v>7.5714285714285712</v>
      </c>
      <c r="V56" s="305">
        <v>9.0892857142857135</v>
      </c>
      <c r="W56" s="312">
        <v>2</v>
      </c>
      <c r="X56" s="313">
        <v>193</v>
      </c>
      <c r="Y56" s="236">
        <f t="shared" si="1"/>
        <v>19.20008508898724</v>
      </c>
      <c r="Z56" s="25"/>
      <c r="AA56" s="25"/>
      <c r="AB56" s="25"/>
      <c r="AC56" s="25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25"/>
      <c r="AP56" s="25"/>
      <c r="AQ56" s="25"/>
      <c r="AR56" s="25"/>
      <c r="AS56" s="25"/>
      <c r="AT56" s="25"/>
      <c r="AU56" s="25"/>
      <c r="AV56" s="25"/>
      <c r="AW56" s="25"/>
    </row>
    <row r="57" spans="1:49" s="13" customFormat="1">
      <c r="A57" s="13">
        <v>34</v>
      </c>
      <c r="B57" s="13">
        <v>0</v>
      </c>
      <c r="C57" s="294" t="s">
        <v>271</v>
      </c>
      <c r="D57" s="294" t="s">
        <v>129</v>
      </c>
      <c r="E57" s="294" t="s">
        <v>107</v>
      </c>
      <c r="F57" s="294" t="s">
        <v>122</v>
      </c>
      <c r="G57" s="350">
        <v>4</v>
      </c>
      <c r="H57" s="351">
        <v>3</v>
      </c>
      <c r="I57">
        <v>0</v>
      </c>
      <c r="J57" s="13">
        <v>0</v>
      </c>
      <c r="K57" s="20">
        <v>5.6189599704614874</v>
      </c>
      <c r="L57" s="20">
        <v>3.0428571428571427</v>
      </c>
      <c r="M57" s="20">
        <v>1.6867511847729793</v>
      </c>
      <c r="N57" s="20">
        <v>5.5826354485252896</v>
      </c>
      <c r="O57" s="311">
        <v>151</v>
      </c>
      <c r="P57" s="20">
        <v>6.8320743801652899</v>
      </c>
      <c r="Q57" s="20">
        <v>6.4998809324386171</v>
      </c>
      <c r="R57" s="312">
        <v>87</v>
      </c>
      <c r="S57" s="20">
        <v>2.7153651780976049</v>
      </c>
      <c r="T57" s="20">
        <v>4.407399486740804</v>
      </c>
      <c r="U57" s="20">
        <v>5</v>
      </c>
      <c r="V57" s="20">
        <v>5.7142857142857135</v>
      </c>
      <c r="W57" s="312">
        <v>128</v>
      </c>
      <c r="X57" s="313">
        <v>366</v>
      </c>
      <c r="Y57" s="236">
        <f t="shared" si="1"/>
        <v>14.941944463873874</v>
      </c>
      <c r="Z57" s="25"/>
      <c r="AA57" s="25"/>
      <c r="AB57" s="25"/>
      <c r="AC57" s="25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25"/>
      <c r="AP57" s="25"/>
      <c r="AQ57" s="25"/>
      <c r="AR57" s="25"/>
      <c r="AS57" s="25"/>
      <c r="AT57" s="25"/>
      <c r="AU57" s="25"/>
      <c r="AV57" s="25"/>
      <c r="AW57" s="25"/>
    </row>
    <row r="58" spans="1:49" s="13" customFormat="1">
      <c r="A58" s="13">
        <v>35</v>
      </c>
      <c r="B58" s="13">
        <v>0</v>
      </c>
      <c r="C58" s="294" t="s">
        <v>263</v>
      </c>
      <c r="D58" s="294" t="s">
        <v>262</v>
      </c>
      <c r="E58" s="294" t="s">
        <v>107</v>
      </c>
      <c r="F58" s="294" t="s">
        <v>126</v>
      </c>
      <c r="G58" s="350">
        <v>4</v>
      </c>
      <c r="H58" s="351">
        <v>3</v>
      </c>
      <c r="I58">
        <v>0</v>
      </c>
      <c r="J58" s="13">
        <v>0</v>
      </c>
      <c r="K58" s="20">
        <v>6.2573613113084141</v>
      </c>
      <c r="L58" s="20">
        <v>4.0192857142857141</v>
      </c>
      <c r="M58" s="20">
        <v>2.3601365821772302</v>
      </c>
      <c r="N58" s="20">
        <v>5.8002210914927499</v>
      </c>
      <c r="O58" s="311">
        <v>127</v>
      </c>
      <c r="P58" s="20">
        <v>5.6759834710743799</v>
      </c>
      <c r="Q58" s="20">
        <v>6.3014370900692516</v>
      </c>
      <c r="R58" s="312">
        <v>131</v>
      </c>
      <c r="S58" s="20">
        <v>2.9360162370321383</v>
      </c>
      <c r="T58" s="20">
        <v>4.1753635585970912</v>
      </c>
      <c r="U58" s="20">
        <v>5.7142857142857135</v>
      </c>
      <c r="V58" s="20">
        <v>6.4285714285714288</v>
      </c>
      <c r="W58" s="312">
        <v>110</v>
      </c>
      <c r="X58" s="313">
        <v>368</v>
      </c>
      <c r="Y58" s="236">
        <f t="shared" si="1"/>
        <v>15.724247499506872</v>
      </c>
      <c r="Z58" s="25"/>
      <c r="AA58" s="25"/>
      <c r="AB58" s="25"/>
      <c r="AC58" s="25"/>
      <c r="AD58" s="25"/>
      <c r="AE58" s="25"/>
      <c r="AF58" s="25"/>
      <c r="AG58" s="25"/>
      <c r="AH58" s="25"/>
      <c r="AI58" s="25"/>
      <c r="AJ58" s="25"/>
      <c r="AK58" s="25"/>
      <c r="AL58" s="25"/>
      <c r="AM58" s="25"/>
      <c r="AN58" s="25"/>
      <c r="AO58" s="25"/>
      <c r="AP58" s="25"/>
      <c r="AQ58" s="25"/>
      <c r="AR58" s="25"/>
      <c r="AS58" s="25"/>
      <c r="AT58" s="25"/>
      <c r="AU58" s="25"/>
      <c r="AV58" s="25"/>
      <c r="AW58" s="25"/>
    </row>
    <row r="59" spans="1:49" s="13" customFormat="1">
      <c r="A59" s="13">
        <v>36</v>
      </c>
      <c r="B59" s="13">
        <v>0</v>
      </c>
      <c r="C59" s="294" t="s">
        <v>130</v>
      </c>
      <c r="D59" s="294" t="s">
        <v>131</v>
      </c>
      <c r="E59" s="294" t="s">
        <v>107</v>
      </c>
      <c r="F59" s="294" t="s">
        <v>126</v>
      </c>
      <c r="G59" s="350">
        <v>4</v>
      </c>
      <c r="H59" s="351">
        <v>4</v>
      </c>
      <c r="I59">
        <v>0</v>
      </c>
      <c r="J59" s="13">
        <v>0</v>
      </c>
      <c r="K59" s="20">
        <v>5.4340040847328099</v>
      </c>
      <c r="L59" s="20">
        <v>1.9385714285714284</v>
      </c>
      <c r="M59" s="20">
        <v>1.9316186020108885</v>
      </c>
      <c r="N59" s="20">
        <v>5.8421744397448654</v>
      </c>
      <c r="O59" s="311">
        <v>157</v>
      </c>
      <c r="P59" s="20">
        <v>7.243694214876033</v>
      </c>
      <c r="Q59" s="20">
        <v>5.2826989171893315</v>
      </c>
      <c r="R59" s="312">
        <v>123</v>
      </c>
      <c r="S59" s="20">
        <v>3.1430810019686093</v>
      </c>
      <c r="T59" s="20">
        <v>4.7046621043627033</v>
      </c>
      <c r="U59" s="20">
        <v>2.8571428571428568</v>
      </c>
      <c r="V59" s="20">
        <v>2.8571428571428568</v>
      </c>
      <c r="W59" s="312">
        <v>147</v>
      </c>
      <c r="X59" s="313">
        <v>427</v>
      </c>
      <c r="Y59" s="236">
        <f t="shared" si="1"/>
        <v>12.459798261108586</v>
      </c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5"/>
      <c r="AR59" s="25"/>
      <c r="AS59" s="25"/>
      <c r="AT59" s="25"/>
      <c r="AU59" s="25"/>
      <c r="AV59" s="25"/>
      <c r="AW59" s="25"/>
    </row>
    <row r="60" spans="1:49" s="13" customFormat="1">
      <c r="A60" s="13">
        <v>37</v>
      </c>
      <c r="B60" s="13">
        <v>0</v>
      </c>
      <c r="C60" s="294" t="s">
        <v>279</v>
      </c>
      <c r="D60" s="294" t="s">
        <v>132</v>
      </c>
      <c r="E60" s="294" t="s">
        <v>107</v>
      </c>
      <c r="F60" s="294" t="s">
        <v>126</v>
      </c>
      <c r="G60" s="350">
        <v>3</v>
      </c>
      <c r="H60" s="351">
        <v>3</v>
      </c>
      <c r="I60">
        <v>0</v>
      </c>
      <c r="J60" s="13">
        <v>0</v>
      </c>
      <c r="K60" s="20">
        <v>7.8277973514129204</v>
      </c>
      <c r="L60" s="20">
        <v>2.2835714285714284</v>
      </c>
      <c r="M60" s="20">
        <v>2.4213534364867071</v>
      </c>
      <c r="N60" s="20">
        <v>6.3203833292337439</v>
      </c>
      <c r="O60" s="311">
        <v>119</v>
      </c>
      <c r="P60" s="20">
        <v>6.8555041322314052</v>
      </c>
      <c r="Q60" s="20">
        <v>5.5393629333196186</v>
      </c>
      <c r="R60" s="312">
        <v>124</v>
      </c>
      <c r="S60" s="20">
        <v>2.2823322740152023</v>
      </c>
      <c r="T60" s="20">
        <v>3.9963644140290846</v>
      </c>
      <c r="U60" s="20">
        <v>2.8571428571428568</v>
      </c>
      <c r="V60" s="20">
        <v>3.5714285714285716</v>
      </c>
      <c r="W60" s="312">
        <v>154</v>
      </c>
      <c r="X60" s="313">
        <v>397</v>
      </c>
      <c r="Y60" s="236">
        <f t="shared" si="1"/>
        <v>13.429456348899746</v>
      </c>
      <c r="Z60" s="25"/>
      <c r="AA60" s="25"/>
      <c r="AB60" s="25"/>
      <c r="AC60" s="25"/>
      <c r="AD60" s="25"/>
      <c r="AE60" s="25"/>
      <c r="AF60" s="25"/>
      <c r="AG60" s="25"/>
      <c r="AH60" s="25"/>
      <c r="AI60" s="25"/>
      <c r="AJ60" s="25"/>
      <c r="AK60" s="25"/>
      <c r="AL60" s="25"/>
      <c r="AM60" s="25"/>
      <c r="AN60" s="25"/>
      <c r="AO60" s="25"/>
      <c r="AP60" s="25"/>
      <c r="AQ60" s="25"/>
      <c r="AR60" s="25"/>
      <c r="AS60" s="25"/>
      <c r="AT60" s="25"/>
      <c r="AU60" s="25"/>
      <c r="AV60" s="25"/>
      <c r="AW60" s="25"/>
    </row>
    <row r="61" spans="1:49" s="13" customFormat="1">
      <c r="A61" s="13">
        <v>38</v>
      </c>
      <c r="B61" s="13">
        <v>0</v>
      </c>
      <c r="C61" s="294" t="s">
        <v>396</v>
      </c>
      <c r="D61" s="294" t="s">
        <v>395</v>
      </c>
      <c r="E61" s="294" t="s">
        <v>115</v>
      </c>
      <c r="F61" s="294" t="s">
        <v>116</v>
      </c>
      <c r="G61" s="350">
        <v>2</v>
      </c>
      <c r="H61" s="351">
        <v>3</v>
      </c>
      <c r="I61">
        <v>0</v>
      </c>
      <c r="J61" s="13">
        <v>0</v>
      </c>
      <c r="K61" s="20">
        <v>8.0161623811012852</v>
      </c>
      <c r="L61" s="20">
        <v>4.3061904761904763</v>
      </c>
      <c r="M61" s="20">
        <v>1.9531509370672673</v>
      </c>
      <c r="N61" s="20">
        <v>6.9645231057502333</v>
      </c>
      <c r="O61" s="311">
        <v>72</v>
      </c>
      <c r="P61" s="20">
        <v>5.508944214876033</v>
      </c>
      <c r="Q61" s="20">
        <v>7.233735965797818</v>
      </c>
      <c r="R61" s="312">
        <v>117</v>
      </c>
      <c r="S61" s="20">
        <v>4.8706725587648876</v>
      </c>
      <c r="T61" s="20">
        <v>6.5731631974146936</v>
      </c>
      <c r="U61" s="20">
        <v>3.9285714285714284</v>
      </c>
      <c r="V61" s="20">
        <v>8.1349206349206344</v>
      </c>
      <c r="W61" s="312">
        <v>57</v>
      </c>
      <c r="X61" s="313">
        <v>246</v>
      </c>
      <c r="Y61" s="236">
        <f t="shared" si="1"/>
        <v>18.420574645743045</v>
      </c>
      <c r="Z61" s="25"/>
      <c r="AA61" s="25"/>
      <c r="AB61" s="25"/>
      <c r="AC61" s="25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25"/>
      <c r="AP61" s="25"/>
      <c r="AQ61" s="25"/>
      <c r="AR61" s="25"/>
      <c r="AS61" s="25"/>
      <c r="AT61" s="25"/>
      <c r="AU61" s="25"/>
      <c r="AV61" s="25"/>
      <c r="AW61" s="25"/>
    </row>
    <row r="62" spans="1:49" s="13" customFormat="1">
      <c r="A62" s="13">
        <v>39</v>
      </c>
      <c r="B62" s="13">
        <v>0</v>
      </c>
      <c r="C62" s="294" t="s">
        <v>281</v>
      </c>
      <c r="D62" s="294" t="s">
        <v>280</v>
      </c>
      <c r="E62" s="294" t="s">
        <v>107</v>
      </c>
      <c r="F62" s="294" t="s">
        <v>133</v>
      </c>
      <c r="G62" s="350">
        <v>4</v>
      </c>
      <c r="H62" s="351">
        <v>3</v>
      </c>
      <c r="I62">
        <v>0</v>
      </c>
      <c r="J62" s="13">
        <v>0</v>
      </c>
      <c r="K62" s="305">
        <v>7.6981129815542602</v>
      </c>
      <c r="L62" s="305">
        <v>5.0535714285714288</v>
      </c>
      <c r="M62" s="305">
        <v>2.788654562343571</v>
      </c>
      <c r="N62" s="305">
        <v>5.0219905036850836</v>
      </c>
      <c r="O62" s="311">
        <v>87</v>
      </c>
      <c r="P62" s="305">
        <v>1</v>
      </c>
      <c r="Q62" s="305">
        <v>5.3318782767153241</v>
      </c>
      <c r="R62" s="312">
        <v>165</v>
      </c>
      <c r="S62" s="305">
        <v>3.5059326677934632</v>
      </c>
      <c r="T62" s="305">
        <v>1</v>
      </c>
      <c r="U62" s="305">
        <v>7.1428571428571432</v>
      </c>
      <c r="V62" s="305">
        <v>7.1428571428571432</v>
      </c>
      <c r="W62" s="312">
        <v>117</v>
      </c>
      <c r="X62" s="313">
        <v>369</v>
      </c>
      <c r="Y62" s="236">
        <f t="shared" si="1"/>
        <v>15.170372384130847</v>
      </c>
      <c r="Z62" s="25"/>
      <c r="AA62" s="25"/>
      <c r="AB62" s="25"/>
      <c r="AC62" s="25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25"/>
      <c r="AP62" s="25"/>
      <c r="AQ62" s="25"/>
      <c r="AR62" s="25"/>
      <c r="AS62" s="25"/>
      <c r="AT62" s="25"/>
      <c r="AU62" s="25"/>
      <c r="AV62" s="25"/>
      <c r="AW62" s="25"/>
    </row>
    <row r="63" spans="1:49" s="13" customFormat="1">
      <c r="A63" s="13">
        <v>40</v>
      </c>
      <c r="B63" s="13">
        <v>0</v>
      </c>
      <c r="C63" s="294" t="s">
        <v>366</v>
      </c>
      <c r="D63" s="294" t="s">
        <v>365</v>
      </c>
      <c r="E63" s="294" t="s">
        <v>107</v>
      </c>
      <c r="F63" s="294" t="s">
        <v>122</v>
      </c>
      <c r="G63" s="350">
        <v>3</v>
      </c>
      <c r="H63" s="351">
        <v>3</v>
      </c>
      <c r="I63">
        <v>0</v>
      </c>
      <c r="J63" s="13">
        <v>0</v>
      </c>
      <c r="K63" s="20">
        <v>6.5059898711694428</v>
      </c>
      <c r="L63" s="20">
        <v>6.8357142857142854</v>
      </c>
      <c r="M63" s="20">
        <v>2.7274377080340937</v>
      </c>
      <c r="N63" s="20">
        <v>5.9851360200252302</v>
      </c>
      <c r="O63" s="311">
        <v>58</v>
      </c>
      <c r="P63" s="20">
        <v>1</v>
      </c>
      <c r="Q63" s="20">
        <v>7.1311814508649798</v>
      </c>
      <c r="R63" s="312">
        <v>156</v>
      </c>
      <c r="S63" s="20">
        <v>3.6671666690937692</v>
      </c>
      <c r="T63" s="20">
        <v>1</v>
      </c>
      <c r="U63" s="20">
        <v>6.4285714285714288</v>
      </c>
      <c r="V63" s="20">
        <v>7.1428571428571432</v>
      </c>
      <c r="W63" s="312">
        <v>122</v>
      </c>
      <c r="X63" s="313">
        <v>336</v>
      </c>
      <c r="Y63" s="236">
        <f t="shared" si="1"/>
        <v>17.20439973223133</v>
      </c>
      <c r="Z63" s="25"/>
      <c r="AA63" s="25"/>
      <c r="AB63" s="25"/>
      <c r="AC63" s="25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25"/>
      <c r="AP63" s="25"/>
      <c r="AQ63" s="25"/>
      <c r="AR63" s="25"/>
      <c r="AS63" s="25"/>
      <c r="AT63" s="25"/>
      <c r="AU63" s="25"/>
      <c r="AV63" s="25"/>
      <c r="AW63" s="25"/>
    </row>
    <row r="64" spans="1:49" s="13" customFormat="1">
      <c r="A64" s="13">
        <v>41</v>
      </c>
      <c r="B64" s="13">
        <v>0</v>
      </c>
      <c r="C64" s="294" t="s">
        <v>594</v>
      </c>
      <c r="D64" s="294" t="s">
        <v>593</v>
      </c>
      <c r="E64" s="294" t="s">
        <v>115</v>
      </c>
      <c r="F64" s="294" t="s">
        <v>124</v>
      </c>
      <c r="G64" s="350">
        <v>2</v>
      </c>
      <c r="H64" s="351">
        <v>2</v>
      </c>
      <c r="I64">
        <v>0</v>
      </c>
      <c r="J64" s="13">
        <v>0</v>
      </c>
      <c r="K64" s="20">
        <v>8.9287789352280011</v>
      </c>
      <c r="L64" s="20">
        <v>7.16734693877551</v>
      </c>
      <c r="M64" s="20">
        <v>2.2377028735582751</v>
      </c>
      <c r="N64" s="20">
        <v>6.5295293620584971</v>
      </c>
      <c r="O64" s="311">
        <v>21</v>
      </c>
      <c r="P64" s="20">
        <v>6.7015743801652894</v>
      </c>
      <c r="Q64" s="20">
        <v>7.6433556645571876</v>
      </c>
      <c r="R64" s="312">
        <v>47</v>
      </c>
      <c r="S64" s="20">
        <v>4.6906291421214421</v>
      </c>
      <c r="T64" s="20">
        <v>4.6053403397287056</v>
      </c>
      <c r="U64" s="20">
        <v>5.3741496598639458</v>
      </c>
      <c r="V64" s="20">
        <v>8.6224489795918373</v>
      </c>
      <c r="W64" s="312">
        <v>60</v>
      </c>
      <c r="X64" s="313">
        <v>128</v>
      </c>
      <c r="Y64" s="236">
        <f t="shared" si="1"/>
        <v>19.682337222288744</v>
      </c>
      <c r="Z64" s="25"/>
      <c r="AA64" s="25"/>
      <c r="AB64" s="25"/>
      <c r="AC64" s="25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25"/>
      <c r="AP64" s="25"/>
      <c r="AQ64" s="25"/>
      <c r="AR64" s="25"/>
      <c r="AS64" s="25"/>
      <c r="AT64" s="25"/>
      <c r="AU64" s="25"/>
      <c r="AV64" s="25"/>
      <c r="AW64" s="25"/>
    </row>
    <row r="65" spans="1:49" s="13" customFormat="1">
      <c r="A65" s="13">
        <v>42</v>
      </c>
      <c r="B65" s="13">
        <v>0</v>
      </c>
      <c r="C65" s="294" t="s">
        <v>388</v>
      </c>
      <c r="D65" s="294" t="s">
        <v>387</v>
      </c>
      <c r="E65" s="294" t="s">
        <v>115</v>
      </c>
      <c r="F65" s="294" t="s">
        <v>118</v>
      </c>
      <c r="G65" s="350">
        <v>2</v>
      </c>
      <c r="H65" s="351">
        <v>1</v>
      </c>
      <c r="I65">
        <v>0</v>
      </c>
      <c r="J65" s="13">
        <v>0</v>
      </c>
      <c r="K65" s="305">
        <v>8.1655121320464961</v>
      </c>
      <c r="L65" s="305">
        <v>5.8404761904761902</v>
      </c>
      <c r="M65" s="305">
        <v>4.4415096286994595</v>
      </c>
      <c r="N65" s="305">
        <v>6.8048646820781666</v>
      </c>
      <c r="O65" s="311">
        <v>17</v>
      </c>
      <c r="P65" s="305">
        <v>7.8718161157024795</v>
      </c>
      <c r="Q65" s="305">
        <v>3.7940043417920677</v>
      </c>
      <c r="R65" s="312">
        <v>135</v>
      </c>
      <c r="S65" s="305">
        <v>4.2353300013798805</v>
      </c>
      <c r="T65" s="305">
        <v>5.6458036308335711</v>
      </c>
      <c r="U65" s="305">
        <v>4.2857142857142856</v>
      </c>
      <c r="V65" s="305">
        <v>8.3333333333333321</v>
      </c>
      <c r="W65" s="312">
        <v>72</v>
      </c>
      <c r="X65" s="313">
        <v>224</v>
      </c>
      <c r="Y65" s="236">
        <f t="shared" si="1"/>
        <v>15.732140312932414</v>
      </c>
      <c r="Z65" s="25"/>
      <c r="AA65" s="25"/>
      <c r="AB65" s="25"/>
      <c r="AC65" s="25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25"/>
      <c r="AP65" s="25"/>
      <c r="AQ65" s="25"/>
      <c r="AR65" s="25"/>
      <c r="AS65" s="25"/>
      <c r="AT65" s="25"/>
      <c r="AU65" s="25"/>
      <c r="AV65" s="25"/>
      <c r="AW65" s="25"/>
    </row>
    <row r="66" spans="1:49" s="13" customFormat="1">
      <c r="A66" s="13">
        <v>44</v>
      </c>
      <c r="B66" s="13">
        <v>0</v>
      </c>
      <c r="C66" s="294" t="s">
        <v>580</v>
      </c>
      <c r="D66" s="294" t="s">
        <v>579</v>
      </c>
      <c r="E66" s="294" t="s">
        <v>111</v>
      </c>
      <c r="F66" s="294" t="s">
        <v>110</v>
      </c>
      <c r="G66" s="350">
        <v>1</v>
      </c>
      <c r="H66" s="351">
        <v>2</v>
      </c>
      <c r="I66">
        <v>1</v>
      </c>
      <c r="J66" s="13">
        <v>0</v>
      </c>
      <c r="K66" s="305">
        <v>8.1557021681802588</v>
      </c>
      <c r="L66" s="305">
        <v>7.2666666666666675</v>
      </c>
      <c r="M66" s="305">
        <v>5.2460795195541294</v>
      </c>
      <c r="N66" s="305">
        <v>6.4069087286300626</v>
      </c>
      <c r="O66" s="311">
        <v>3</v>
      </c>
      <c r="P66" s="305">
        <v>7.3990743801652892</v>
      </c>
      <c r="Q66" s="305">
        <v>7.9372634131390871</v>
      </c>
      <c r="R66" s="312">
        <v>11</v>
      </c>
      <c r="S66" s="305">
        <v>4.2937268582902703</v>
      </c>
      <c r="T66" s="305">
        <v>6.9728400342172794</v>
      </c>
      <c r="U66" s="305">
        <v>7.7619047619047619</v>
      </c>
      <c r="V66" s="305">
        <v>7.6190476190476195</v>
      </c>
      <c r="W66" s="312">
        <v>28</v>
      </c>
      <c r="X66" s="313">
        <v>42</v>
      </c>
      <c r="Y66" s="236">
        <f t="shared" ref="Y66:Y97" si="2">(((AVERAGE(K66:N66)+AVERAGE(Q66+AVERAGE(S66:V66)))))</f>
        <v>21.367982502261849</v>
      </c>
      <c r="Z66" s="25"/>
      <c r="AA66" s="25"/>
      <c r="AB66" s="25"/>
      <c r="AC66" s="25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25"/>
      <c r="AP66" s="25"/>
      <c r="AQ66" s="25"/>
      <c r="AR66" s="25"/>
      <c r="AS66" s="25"/>
      <c r="AT66" s="25"/>
      <c r="AU66" s="25"/>
      <c r="AV66" s="25"/>
      <c r="AW66" s="25"/>
    </row>
    <row r="67" spans="1:49" s="13" customFormat="1">
      <c r="A67" s="13">
        <v>46</v>
      </c>
      <c r="B67" s="13">
        <v>0</v>
      </c>
      <c r="C67" s="294" t="s">
        <v>305</v>
      </c>
      <c r="D67" s="294" t="s">
        <v>304</v>
      </c>
      <c r="E67" s="294" t="s">
        <v>107</v>
      </c>
      <c r="F67" s="294" t="s">
        <v>121</v>
      </c>
      <c r="G67" s="350">
        <v>4</v>
      </c>
      <c r="H67" s="351">
        <v>3</v>
      </c>
      <c r="I67">
        <v>0</v>
      </c>
      <c r="J67" s="13">
        <v>0</v>
      </c>
      <c r="K67" s="20">
        <v>6.1578753598991849</v>
      </c>
      <c r="L67" s="20">
        <v>2.8357142857142854</v>
      </c>
      <c r="M67" s="20">
        <v>1.0721442885771544</v>
      </c>
      <c r="N67" s="20">
        <v>6.3281795353741455</v>
      </c>
      <c r="O67" s="311">
        <v>145</v>
      </c>
      <c r="P67" s="20">
        <v>1</v>
      </c>
      <c r="Q67" s="20">
        <v>6.1364924803812784</v>
      </c>
      <c r="R67" s="312">
        <v>161</v>
      </c>
      <c r="S67" s="20">
        <v>2.7539718819876557</v>
      </c>
      <c r="T67" s="20">
        <v>1</v>
      </c>
      <c r="U67" s="20">
        <v>2.8571428571428568</v>
      </c>
      <c r="V67" s="20">
        <v>3.5714285714285716</v>
      </c>
      <c r="W67" s="312">
        <v>159</v>
      </c>
      <c r="X67" s="313">
        <v>465</v>
      </c>
      <c r="Y67" s="236">
        <f t="shared" si="2"/>
        <v>12.780606675412242</v>
      </c>
      <c r="Z67" s="25"/>
      <c r="AA67" s="25"/>
      <c r="AB67" s="25"/>
      <c r="AC67" s="25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25"/>
      <c r="AP67" s="25"/>
      <c r="AQ67" s="25"/>
      <c r="AR67" s="25"/>
      <c r="AS67" s="25"/>
      <c r="AT67" s="25"/>
      <c r="AU67" s="25"/>
      <c r="AV67" s="25"/>
      <c r="AW67" s="25"/>
    </row>
    <row r="68" spans="1:49" s="13" customFormat="1">
      <c r="A68" s="13">
        <v>47</v>
      </c>
      <c r="B68" s="13">
        <v>0</v>
      </c>
      <c r="C68" s="294" t="s">
        <v>632</v>
      </c>
      <c r="D68" s="294" t="s">
        <v>631</v>
      </c>
      <c r="E68" s="294" t="s">
        <v>115</v>
      </c>
      <c r="F68" s="294" t="s">
        <v>118</v>
      </c>
      <c r="G68" s="350">
        <v>3</v>
      </c>
      <c r="H68" s="351">
        <v>3</v>
      </c>
      <c r="I68">
        <v>0</v>
      </c>
      <c r="J68" s="13">
        <v>0</v>
      </c>
      <c r="K68" s="20">
        <v>7.867433303399606</v>
      </c>
      <c r="L68" s="20">
        <v>7.8571428571428568</v>
      </c>
      <c r="M68" s="20">
        <v>3.8905579399141623</v>
      </c>
      <c r="N68" s="20">
        <v>6.886034727089319</v>
      </c>
      <c r="O68" s="311">
        <v>7</v>
      </c>
      <c r="P68" s="20">
        <v>7.1882438016528925</v>
      </c>
      <c r="Q68" s="20">
        <v>7.2627961421352936</v>
      </c>
      <c r="R68" s="312">
        <v>41</v>
      </c>
      <c r="S68" s="20">
        <v>1</v>
      </c>
      <c r="T68" s="20">
        <v>6.7123609923011127</v>
      </c>
      <c r="U68" s="20">
        <v>4.2857142857142856</v>
      </c>
      <c r="V68" s="20">
        <v>7.7857142857142856</v>
      </c>
      <c r="W68" s="312">
        <v>105</v>
      </c>
      <c r="X68" s="313">
        <v>153</v>
      </c>
      <c r="Y68" s="236">
        <f t="shared" si="2"/>
        <v>18.834035739954203</v>
      </c>
      <c r="Z68" s="25"/>
      <c r="AA68" s="25"/>
      <c r="AB68" s="25"/>
      <c r="AC68" s="25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25"/>
      <c r="AP68" s="25"/>
      <c r="AQ68" s="25"/>
      <c r="AR68" s="25"/>
      <c r="AS68" s="25"/>
      <c r="AT68" s="25"/>
      <c r="AU68" s="25"/>
      <c r="AV68" s="25"/>
      <c r="AW68" s="25"/>
    </row>
    <row r="69" spans="1:49" s="13" customFormat="1">
      <c r="A69" s="13">
        <v>49</v>
      </c>
      <c r="B69" s="13">
        <v>0</v>
      </c>
      <c r="C69" s="294" t="s">
        <v>364</v>
      </c>
      <c r="D69" s="294" t="s">
        <v>363</v>
      </c>
      <c r="E69" s="294" t="s">
        <v>115</v>
      </c>
      <c r="F69" s="294" t="s">
        <v>118</v>
      </c>
      <c r="G69" s="350">
        <v>3</v>
      </c>
      <c r="H69" s="351">
        <v>3</v>
      </c>
      <c r="I69">
        <v>0</v>
      </c>
      <c r="J69" s="13">
        <v>0</v>
      </c>
      <c r="K69" s="20">
        <v>7.5882799362839792</v>
      </c>
      <c r="L69" s="20">
        <v>4.4761904761904763</v>
      </c>
      <c r="M69" s="20">
        <v>2.0540523106298432</v>
      </c>
      <c r="N69" s="20">
        <v>5.8663312138749859</v>
      </c>
      <c r="O69" s="311">
        <v>98</v>
      </c>
      <c r="P69" s="20">
        <v>7.3618842975206604</v>
      </c>
      <c r="Q69" s="20">
        <v>6.9250140926966424</v>
      </c>
      <c r="R69" s="312">
        <v>50</v>
      </c>
      <c r="S69" s="20">
        <v>3.9830315784715489</v>
      </c>
      <c r="T69" s="20">
        <v>5.105788423153693</v>
      </c>
      <c r="U69" s="20">
        <v>6.6666666666666679</v>
      </c>
      <c r="V69" s="20">
        <v>6.4285714285714288</v>
      </c>
      <c r="W69" s="312">
        <v>78</v>
      </c>
      <c r="X69" s="313">
        <v>226</v>
      </c>
      <c r="Y69" s="236">
        <f t="shared" si="2"/>
        <v>17.467242101157296</v>
      </c>
      <c r="Z69" s="25"/>
      <c r="AA69" s="25"/>
      <c r="AB69" s="25"/>
      <c r="AC69" s="25"/>
      <c r="AD69" s="25"/>
      <c r="AE69" s="25"/>
      <c r="AF69" s="25"/>
      <c r="AG69" s="25"/>
      <c r="AH69" s="25"/>
      <c r="AI69" s="25"/>
      <c r="AJ69" s="25"/>
      <c r="AK69" s="25"/>
      <c r="AL69" s="25"/>
      <c r="AM69" s="25"/>
      <c r="AN69" s="25"/>
      <c r="AO69" s="25"/>
      <c r="AP69" s="25"/>
      <c r="AQ69" s="25"/>
      <c r="AR69" s="25"/>
      <c r="AS69" s="25"/>
      <c r="AT69" s="25"/>
      <c r="AU69" s="25"/>
      <c r="AV69" s="25"/>
      <c r="AW69" s="25"/>
    </row>
    <row r="70" spans="1:49" s="13" customFormat="1">
      <c r="A70" s="13">
        <v>50</v>
      </c>
      <c r="B70" s="13">
        <v>0</v>
      </c>
      <c r="C70" s="294" t="s">
        <v>406</v>
      </c>
      <c r="D70" s="294" t="s">
        <v>405</v>
      </c>
      <c r="E70" s="294" t="s">
        <v>113</v>
      </c>
      <c r="F70" s="294" t="s">
        <v>134</v>
      </c>
      <c r="G70" s="350">
        <v>2</v>
      </c>
      <c r="H70" s="351">
        <v>3</v>
      </c>
      <c r="I70">
        <v>0</v>
      </c>
      <c r="J70" s="13">
        <v>0</v>
      </c>
      <c r="K70" s="20">
        <v>7.2680031722605607</v>
      </c>
      <c r="L70" s="20">
        <v>3.5828571428571427</v>
      </c>
      <c r="M70" s="20">
        <v>2.4825702907961844</v>
      </c>
      <c r="N70" s="20">
        <v>6.5903038753213234</v>
      </c>
      <c r="O70" s="311">
        <v>100</v>
      </c>
      <c r="P70" s="20">
        <v>7.7429152892561985</v>
      </c>
      <c r="Q70" s="20">
        <v>6.6661741852218803</v>
      </c>
      <c r="R70" s="312">
        <v>42</v>
      </c>
      <c r="S70" s="20">
        <v>3.4889678191428009</v>
      </c>
      <c r="T70" s="20">
        <v>5.3006130595950953</v>
      </c>
      <c r="U70" s="20">
        <v>4.7619047619047619</v>
      </c>
      <c r="V70" s="20">
        <v>7.6190476190476186</v>
      </c>
      <c r="W70" s="312">
        <v>88</v>
      </c>
      <c r="X70" s="313">
        <v>230</v>
      </c>
      <c r="Y70" s="236">
        <f t="shared" si="2"/>
        <v>16.939741120453252</v>
      </c>
      <c r="Z70" s="25"/>
      <c r="AA70" s="25"/>
      <c r="AB70" s="25"/>
      <c r="AC70" s="25"/>
      <c r="AD70" s="25"/>
      <c r="AE70" s="25"/>
      <c r="AF70" s="25"/>
      <c r="AG70" s="25"/>
      <c r="AH70" s="25"/>
      <c r="AI70" s="25"/>
      <c r="AJ70" s="25"/>
      <c r="AK70" s="25"/>
      <c r="AL70" s="25"/>
      <c r="AM70" s="25"/>
      <c r="AN70" s="25"/>
      <c r="AO70" s="25"/>
      <c r="AP70" s="25"/>
      <c r="AQ70" s="25"/>
      <c r="AR70" s="25"/>
      <c r="AS70" s="25"/>
      <c r="AT70" s="25"/>
      <c r="AU70" s="25"/>
      <c r="AV70" s="25"/>
      <c r="AW70" s="25"/>
    </row>
    <row r="71" spans="1:49" s="13" customFormat="1">
      <c r="A71" s="13">
        <v>51</v>
      </c>
      <c r="B71" s="13">
        <v>0</v>
      </c>
      <c r="C71" s="294" t="s">
        <v>428</v>
      </c>
      <c r="D71" s="294" t="s">
        <v>427</v>
      </c>
      <c r="E71" s="294" t="s">
        <v>115</v>
      </c>
      <c r="F71" s="294" t="s">
        <v>116</v>
      </c>
      <c r="G71" s="350">
        <v>2</v>
      </c>
      <c r="H71" s="351">
        <v>3</v>
      </c>
      <c r="I71">
        <v>0</v>
      </c>
      <c r="J71" s="13">
        <v>0</v>
      </c>
      <c r="K71" s="20">
        <v>7.4271214251035529</v>
      </c>
      <c r="L71" s="20">
        <v>4.426530612244898</v>
      </c>
      <c r="M71" s="20">
        <v>2.2989197278677524</v>
      </c>
      <c r="N71" s="20">
        <v>6.4653858122780203</v>
      </c>
      <c r="O71" s="311">
        <v>83</v>
      </c>
      <c r="P71" s="20">
        <v>2.3016528925619832</v>
      </c>
      <c r="Q71" s="20">
        <v>6.2497526766750067</v>
      </c>
      <c r="R71" s="312">
        <v>146</v>
      </c>
      <c r="S71" s="20">
        <v>3.8062353021804562</v>
      </c>
      <c r="T71" s="20">
        <v>5.8956983991201266</v>
      </c>
      <c r="U71" s="20">
        <v>4.9659863945578229</v>
      </c>
      <c r="V71" s="20">
        <v>8.4353741496598644</v>
      </c>
      <c r="W71" s="312">
        <v>64</v>
      </c>
      <c r="X71" s="313">
        <v>293</v>
      </c>
      <c r="Y71" s="236">
        <f t="shared" si="2"/>
        <v>17.180065632428132</v>
      </c>
      <c r="Z71" s="25"/>
      <c r="AA71" s="25"/>
      <c r="AB71" s="25"/>
      <c r="AC71" s="25"/>
      <c r="AD71" s="25"/>
      <c r="AE71" s="25"/>
      <c r="AF71" s="25"/>
      <c r="AG71" s="25"/>
      <c r="AH71" s="25"/>
      <c r="AI71" s="25"/>
      <c r="AJ71" s="25"/>
      <c r="AK71" s="25"/>
      <c r="AL71" s="25"/>
      <c r="AM71" s="25"/>
      <c r="AN71" s="25"/>
      <c r="AO71" s="25"/>
      <c r="AP71" s="25"/>
      <c r="AQ71" s="25"/>
      <c r="AR71" s="25"/>
      <c r="AS71" s="25"/>
      <c r="AT71" s="25"/>
      <c r="AU71" s="25"/>
      <c r="AV71" s="25"/>
      <c r="AW71" s="25"/>
    </row>
    <row r="72" spans="1:49" s="13" customFormat="1">
      <c r="A72" s="13">
        <v>52</v>
      </c>
      <c r="B72" s="13">
        <v>0</v>
      </c>
      <c r="C72" s="294" t="s">
        <v>606</v>
      </c>
      <c r="D72" s="294" t="s">
        <v>135</v>
      </c>
      <c r="E72" s="294" t="s">
        <v>113</v>
      </c>
      <c r="F72" s="294" t="s">
        <v>134</v>
      </c>
      <c r="G72" s="350">
        <v>3</v>
      </c>
      <c r="H72" s="351">
        <v>3</v>
      </c>
      <c r="I72">
        <v>0</v>
      </c>
      <c r="J72" s="13">
        <v>0</v>
      </c>
      <c r="K72" s="20">
        <v>7.1779178559940195</v>
      </c>
      <c r="L72" s="20">
        <v>5.6857142857142851</v>
      </c>
      <c r="M72" s="20">
        <v>2.7632827887534726</v>
      </c>
      <c r="N72" s="20">
        <v>6.1829944223494007</v>
      </c>
      <c r="O72" s="311">
        <v>62</v>
      </c>
      <c r="P72" s="20">
        <v>8.256826446280991</v>
      </c>
      <c r="Q72" s="20">
        <v>6.8012091592792379</v>
      </c>
      <c r="R72" s="312">
        <v>22</v>
      </c>
      <c r="S72" s="20">
        <v>3.7159956084205361</v>
      </c>
      <c r="T72" s="20">
        <v>6.255203877958369</v>
      </c>
      <c r="U72" s="20">
        <v>8.9285714285714288</v>
      </c>
      <c r="V72" s="20">
        <v>9.1666666666666661</v>
      </c>
      <c r="W72" s="312">
        <v>12</v>
      </c>
      <c r="X72" s="313">
        <v>96</v>
      </c>
      <c r="Y72" s="236">
        <f t="shared" si="2"/>
        <v>19.270295892886281</v>
      </c>
      <c r="Z72" s="25"/>
      <c r="AA72" s="25"/>
      <c r="AB72" s="25"/>
      <c r="AC72" s="25"/>
      <c r="AD72" s="25"/>
      <c r="AE72" s="25"/>
      <c r="AF72" s="25"/>
      <c r="AG72" s="25"/>
      <c r="AH72" s="25"/>
      <c r="AI72" s="25"/>
      <c r="AJ72" s="25"/>
      <c r="AK72" s="25"/>
      <c r="AL72" s="25"/>
      <c r="AM72" s="25"/>
      <c r="AN72" s="25"/>
      <c r="AO72" s="25"/>
      <c r="AP72" s="25"/>
      <c r="AQ72" s="25"/>
      <c r="AR72" s="25"/>
      <c r="AS72" s="25"/>
      <c r="AT72" s="25"/>
      <c r="AU72" s="25"/>
      <c r="AV72" s="25"/>
      <c r="AW72" s="25"/>
    </row>
    <row r="73" spans="1:49" s="13" customFormat="1">
      <c r="A73" s="13">
        <v>53</v>
      </c>
      <c r="B73" s="13">
        <v>0</v>
      </c>
      <c r="C73" s="294" t="s">
        <v>287</v>
      </c>
      <c r="D73" s="294" t="s">
        <v>286</v>
      </c>
      <c r="E73" s="294" t="s">
        <v>107</v>
      </c>
      <c r="F73" s="294" t="s">
        <v>121</v>
      </c>
      <c r="G73" s="350"/>
      <c r="H73" s="351">
        <v>4</v>
      </c>
      <c r="I73">
        <v>0</v>
      </c>
      <c r="J73" s="13">
        <v>0</v>
      </c>
      <c r="K73" s="20">
        <v>7.231136793038127</v>
      </c>
      <c r="L73" s="20">
        <v>4.2433333333333341</v>
      </c>
      <c r="M73" s="20">
        <v>2.1458775920940596</v>
      </c>
      <c r="N73" s="20">
        <v>5.2036480077147349</v>
      </c>
      <c r="O73" s="311">
        <v>120</v>
      </c>
      <c r="P73" s="20">
        <v>7.2188140495867765</v>
      </c>
      <c r="Q73" s="20">
        <v>4.8480860901484819</v>
      </c>
      <c r="R73" s="312">
        <v>129</v>
      </c>
      <c r="S73" s="20">
        <v>2.594860618123942</v>
      </c>
      <c r="T73" s="20">
        <v>4.2600513259195898</v>
      </c>
      <c r="U73" s="20">
        <v>5.2380952380952381</v>
      </c>
      <c r="V73" s="20">
        <v>6.1904761904761898</v>
      </c>
      <c r="W73" s="312">
        <v>121</v>
      </c>
      <c r="X73" s="313">
        <v>370</v>
      </c>
      <c r="Y73" s="236">
        <f t="shared" si="2"/>
        <v>14.124955864847287</v>
      </c>
      <c r="Z73" s="25"/>
      <c r="AA73" s="25"/>
      <c r="AB73" s="25"/>
      <c r="AC73" s="25"/>
      <c r="AD73" s="25"/>
      <c r="AE73" s="25"/>
      <c r="AF73" s="25"/>
      <c r="AG73" s="25"/>
      <c r="AH73" s="25"/>
      <c r="AI73" s="25"/>
      <c r="AJ73" s="25"/>
      <c r="AK73" s="25"/>
      <c r="AL73" s="25"/>
      <c r="AM73" s="25"/>
      <c r="AN73" s="25"/>
      <c r="AO73" s="25"/>
      <c r="AP73" s="25"/>
      <c r="AQ73" s="25"/>
      <c r="AR73" s="25"/>
      <c r="AS73" s="25"/>
      <c r="AT73" s="25"/>
      <c r="AU73" s="25"/>
      <c r="AV73" s="25"/>
      <c r="AW73" s="25"/>
    </row>
    <row r="74" spans="1:49" s="13" customFormat="1">
      <c r="A74" s="13">
        <v>55</v>
      </c>
      <c r="B74" s="13">
        <v>0</v>
      </c>
      <c r="C74" s="294" t="s">
        <v>574</v>
      </c>
      <c r="D74" s="294" t="s">
        <v>573</v>
      </c>
      <c r="E74" s="294" t="s">
        <v>111</v>
      </c>
      <c r="F74" s="294" t="s">
        <v>110</v>
      </c>
      <c r="G74" s="350">
        <v>1</v>
      </c>
      <c r="H74" s="351">
        <v>2</v>
      </c>
      <c r="I74">
        <v>0</v>
      </c>
      <c r="J74" s="13">
        <v>0</v>
      </c>
      <c r="K74" s="305">
        <v>6.0400032309632037</v>
      </c>
      <c r="L74" s="305">
        <v>7.5857142857142854</v>
      </c>
      <c r="M74" s="305">
        <v>4.3140836823862312</v>
      </c>
      <c r="N74" s="305">
        <v>6.5169033941185024</v>
      </c>
      <c r="O74" s="311">
        <v>25</v>
      </c>
      <c r="P74" s="305">
        <v>7.5578946280991737</v>
      </c>
      <c r="Q74" s="305">
        <v>8.6394486756319573</v>
      </c>
      <c r="R74" s="312">
        <v>3</v>
      </c>
      <c r="S74" s="305">
        <v>3.2813399702126311</v>
      </c>
      <c r="T74" s="305">
        <v>7.1315226689478184</v>
      </c>
      <c r="U74" s="305">
        <v>8.5714285714285712</v>
      </c>
      <c r="V74" s="305">
        <v>8.0952380952380949</v>
      </c>
      <c r="W74" s="312">
        <v>23</v>
      </c>
      <c r="X74" s="313">
        <v>51</v>
      </c>
      <c r="Y74" s="236">
        <f t="shared" si="2"/>
        <v>21.52350715038429</v>
      </c>
      <c r="Z74" s="25"/>
      <c r="AA74" s="25"/>
      <c r="AB74" s="25"/>
      <c r="AC74" s="25"/>
      <c r="AD74" s="25"/>
      <c r="AE74" s="25"/>
      <c r="AF74" s="25"/>
      <c r="AG74" s="25"/>
      <c r="AH74" s="25"/>
      <c r="AI74" s="25"/>
      <c r="AJ74" s="25"/>
      <c r="AK74" s="25"/>
      <c r="AL74" s="25"/>
      <c r="AM74" s="25"/>
      <c r="AN74" s="25"/>
      <c r="AO74" s="25"/>
      <c r="AP74" s="25"/>
      <c r="AQ74" s="25"/>
      <c r="AR74" s="25"/>
      <c r="AS74" s="25"/>
      <c r="AT74" s="25"/>
      <c r="AU74" s="25"/>
      <c r="AV74" s="25"/>
      <c r="AW74" s="25"/>
    </row>
    <row r="75" spans="1:49" s="13" customFormat="1">
      <c r="A75" s="13">
        <v>56</v>
      </c>
      <c r="B75" s="13">
        <v>0</v>
      </c>
      <c r="C75" s="294" t="s">
        <v>422</v>
      </c>
      <c r="D75" s="294" t="s">
        <v>421</v>
      </c>
      <c r="E75" s="294" t="s">
        <v>107</v>
      </c>
      <c r="F75" s="294" t="s">
        <v>121</v>
      </c>
      <c r="G75" s="350">
        <v>4</v>
      </c>
      <c r="H75" s="351">
        <v>3</v>
      </c>
      <c r="I75">
        <v>0</v>
      </c>
      <c r="J75" s="13">
        <v>0</v>
      </c>
      <c r="K75" s="305">
        <v>8.6587431495202534</v>
      </c>
      <c r="L75" s="305">
        <v>4.7085714285714282</v>
      </c>
      <c r="M75" s="305">
        <v>1.5557471165506978</v>
      </c>
      <c r="N75" s="305">
        <v>5.6687155590498186</v>
      </c>
      <c r="O75" s="311">
        <v>84</v>
      </c>
      <c r="P75" s="305">
        <v>6.7547933884297517</v>
      </c>
      <c r="Q75" s="305">
        <v>6.3037285617066896</v>
      </c>
      <c r="R75" s="312">
        <v>97</v>
      </c>
      <c r="S75" s="305">
        <v>2.753806075726823</v>
      </c>
      <c r="T75" s="305">
        <v>6.8285571713715418</v>
      </c>
      <c r="U75" s="305">
        <v>7.3809523809523814</v>
      </c>
      <c r="V75" s="305">
        <v>9.5238095238095237</v>
      </c>
      <c r="W75" s="312">
        <v>29</v>
      </c>
      <c r="X75" s="313">
        <v>210</v>
      </c>
      <c r="Y75" s="236">
        <f t="shared" si="2"/>
        <v>18.073454163094809</v>
      </c>
      <c r="Z75" s="25"/>
      <c r="AA75" s="25"/>
      <c r="AB75" s="25"/>
      <c r="AC75" s="25"/>
      <c r="AD75" s="25"/>
      <c r="AE75" s="25"/>
      <c r="AF75" s="25"/>
      <c r="AG75" s="25"/>
      <c r="AH75" s="25"/>
      <c r="AI75" s="25"/>
      <c r="AJ75" s="25"/>
      <c r="AK75" s="25"/>
      <c r="AL75" s="25"/>
      <c r="AM75" s="25"/>
      <c r="AN75" s="25"/>
      <c r="AO75" s="25"/>
      <c r="AP75" s="25"/>
      <c r="AQ75" s="25"/>
      <c r="AR75" s="25"/>
      <c r="AS75" s="25"/>
      <c r="AT75" s="25"/>
      <c r="AU75" s="25"/>
      <c r="AV75" s="25"/>
      <c r="AW75" s="25"/>
    </row>
    <row r="76" spans="1:49" s="13" customFormat="1">
      <c r="A76" s="13">
        <v>58</v>
      </c>
      <c r="B76" s="13">
        <v>0</v>
      </c>
      <c r="C76" s="294" t="s">
        <v>642</v>
      </c>
      <c r="D76" s="294" t="s">
        <v>641</v>
      </c>
      <c r="E76" s="294" t="s">
        <v>119</v>
      </c>
      <c r="F76" s="294" t="s">
        <v>136</v>
      </c>
      <c r="G76" s="350">
        <v>3</v>
      </c>
      <c r="H76" s="351">
        <v>3</v>
      </c>
      <c r="I76">
        <v>0</v>
      </c>
      <c r="J76" s="13">
        <v>0</v>
      </c>
      <c r="K76" s="20">
        <v>8.211954639947276</v>
      </c>
      <c r="L76" s="20">
        <v>4.6279761904761898</v>
      </c>
      <c r="M76" s="20">
        <v>2.7213160226031459</v>
      </c>
      <c r="N76" s="20">
        <v>6.4555331989552212</v>
      </c>
      <c r="O76" s="311">
        <v>60</v>
      </c>
      <c r="P76" s="20">
        <v>7.0603842975206614</v>
      </c>
      <c r="Q76" s="20">
        <v>7.0983237428583958</v>
      </c>
      <c r="R76" s="312">
        <v>57</v>
      </c>
      <c r="S76" s="20">
        <v>4.0315958391117848</v>
      </c>
      <c r="T76" s="20">
        <v>5.3618477331052183</v>
      </c>
      <c r="U76" s="20">
        <v>8.533163265306122</v>
      </c>
      <c r="V76" s="20">
        <v>5.3571428571428568</v>
      </c>
      <c r="W76" s="312">
        <v>61</v>
      </c>
      <c r="X76" s="313">
        <v>178</v>
      </c>
      <c r="Y76" s="236">
        <f t="shared" si="2"/>
        <v>18.42345617952035</v>
      </c>
      <c r="Z76" s="25"/>
      <c r="AA76" s="25"/>
      <c r="AB76" s="25"/>
      <c r="AC76" s="25"/>
      <c r="AD76" s="25"/>
      <c r="AE76" s="25"/>
      <c r="AF76" s="25"/>
      <c r="AG76" s="25"/>
      <c r="AH76" s="25"/>
      <c r="AI76" s="25"/>
      <c r="AJ76" s="25"/>
      <c r="AK76" s="25"/>
      <c r="AL76" s="25"/>
      <c r="AM76" s="25"/>
      <c r="AN76" s="25"/>
      <c r="AO76" s="25"/>
      <c r="AP76" s="25"/>
      <c r="AQ76" s="25"/>
      <c r="AR76" s="25"/>
      <c r="AS76" s="25"/>
      <c r="AT76" s="25"/>
      <c r="AU76" s="25"/>
      <c r="AV76" s="25"/>
      <c r="AW76" s="25"/>
    </row>
    <row r="77" spans="1:49" s="13" customFormat="1">
      <c r="A77" s="13">
        <v>60</v>
      </c>
      <c r="B77" s="13">
        <v>0</v>
      </c>
      <c r="C77" s="294" t="s">
        <v>454</v>
      </c>
      <c r="D77" s="294" t="s">
        <v>137</v>
      </c>
      <c r="E77" s="294" t="s">
        <v>119</v>
      </c>
      <c r="F77" s="294" t="s">
        <v>136</v>
      </c>
      <c r="G77" s="350">
        <v>3</v>
      </c>
      <c r="H77" s="351">
        <v>3</v>
      </c>
      <c r="I77">
        <v>0</v>
      </c>
      <c r="J77" s="13">
        <v>0</v>
      </c>
      <c r="K77" s="20">
        <v>6.3991549990055443</v>
      </c>
      <c r="L77" s="20">
        <v>4.2857142857142856</v>
      </c>
      <c r="M77" s="20">
        <v>3.4681616451787693</v>
      </c>
      <c r="N77" s="20">
        <v>5.3573591129557396</v>
      </c>
      <c r="O77" s="311">
        <v>106</v>
      </c>
      <c r="P77" s="20">
        <v>7.3596342975206603</v>
      </c>
      <c r="Q77" s="20">
        <v>1</v>
      </c>
      <c r="R77" s="312">
        <v>154</v>
      </c>
      <c r="S77" s="20">
        <v>1.5106457820121075</v>
      </c>
      <c r="T77" s="20">
        <v>5.8971343028229253</v>
      </c>
      <c r="U77" s="20">
        <v>7.8571428571428568</v>
      </c>
      <c r="V77" s="20">
        <v>7.8571428571428568</v>
      </c>
      <c r="W77" s="312">
        <v>63</v>
      </c>
      <c r="X77" s="313">
        <v>323</v>
      </c>
      <c r="Y77" s="236">
        <f t="shared" si="2"/>
        <v>11.658113960493772</v>
      </c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5"/>
      <c r="AS77" s="25"/>
      <c r="AT77" s="25"/>
      <c r="AU77" s="25"/>
      <c r="AV77" s="25"/>
      <c r="AW77" s="25"/>
    </row>
    <row r="78" spans="1:49" s="13" customFormat="1">
      <c r="A78" s="13">
        <v>61</v>
      </c>
      <c r="B78" s="13">
        <v>0</v>
      </c>
      <c r="C78" s="294" t="s">
        <v>390</v>
      </c>
      <c r="D78" s="294" t="s">
        <v>389</v>
      </c>
      <c r="E78" s="294" t="s">
        <v>107</v>
      </c>
      <c r="F78" s="294" t="s">
        <v>126</v>
      </c>
      <c r="G78" s="350">
        <v>3</v>
      </c>
      <c r="H78" s="351">
        <v>3</v>
      </c>
      <c r="I78">
        <v>0</v>
      </c>
      <c r="J78" s="13">
        <v>0</v>
      </c>
      <c r="K78" s="20">
        <v>8.3634707710266945</v>
      </c>
      <c r="L78" s="20">
        <v>5.4785714285714286</v>
      </c>
      <c r="M78" s="20">
        <v>2.6662208537246164</v>
      </c>
      <c r="N78" s="20">
        <v>6.9654029079430995</v>
      </c>
      <c r="O78" s="311">
        <v>35</v>
      </c>
      <c r="P78" s="20">
        <v>6.9388842975206604</v>
      </c>
      <c r="Q78" s="20">
        <v>6.5039654413892745</v>
      </c>
      <c r="R78" s="312">
        <v>83</v>
      </c>
      <c r="S78" s="20">
        <v>3.1538597452853705</v>
      </c>
      <c r="T78" s="20">
        <v>5.3541488451668089</v>
      </c>
      <c r="U78" s="20">
        <v>6.7857142857142865</v>
      </c>
      <c r="V78" s="20">
        <v>7.8571428571428568</v>
      </c>
      <c r="W78" s="312">
        <v>62</v>
      </c>
      <c r="X78" s="313">
        <v>180</v>
      </c>
      <c r="Y78" s="236">
        <f t="shared" si="2"/>
        <v>18.160098365033065</v>
      </c>
      <c r="Z78" s="25"/>
      <c r="AA78" s="25"/>
      <c r="AB78" s="25"/>
      <c r="AC78" s="25"/>
      <c r="AD78" s="25"/>
      <c r="AE78" s="25"/>
      <c r="AF78" s="25"/>
      <c r="AG78" s="25"/>
      <c r="AH78" s="25"/>
      <c r="AI78" s="25"/>
      <c r="AJ78" s="25"/>
      <c r="AK78" s="25"/>
      <c r="AL78" s="25"/>
      <c r="AM78" s="25"/>
      <c r="AN78" s="25"/>
      <c r="AO78" s="25"/>
      <c r="AP78" s="25"/>
      <c r="AQ78" s="25"/>
      <c r="AR78" s="25"/>
      <c r="AS78" s="25"/>
      <c r="AT78" s="25"/>
      <c r="AU78" s="25"/>
      <c r="AV78" s="25"/>
      <c r="AW78" s="25"/>
    </row>
    <row r="79" spans="1:49" s="13" customFormat="1">
      <c r="A79" s="13">
        <v>63</v>
      </c>
      <c r="B79" s="13">
        <v>0</v>
      </c>
      <c r="C79" s="294" t="s">
        <v>628</v>
      </c>
      <c r="D79" s="294" t="s">
        <v>627</v>
      </c>
      <c r="E79" s="294" t="s">
        <v>109</v>
      </c>
      <c r="F79" s="294" t="s">
        <v>117</v>
      </c>
      <c r="G79" s="350">
        <v>2</v>
      </c>
      <c r="H79" s="351">
        <v>3</v>
      </c>
      <c r="I79">
        <v>0</v>
      </c>
      <c r="J79" s="13">
        <v>0</v>
      </c>
      <c r="K79" s="305">
        <v>5.7072939628418577</v>
      </c>
      <c r="L79" s="305">
        <v>4.5792857142857146</v>
      </c>
      <c r="M79" s="305">
        <v>4.1542204150790853</v>
      </c>
      <c r="N79" s="305">
        <v>6.1315420844337147</v>
      </c>
      <c r="O79" s="311">
        <v>86</v>
      </c>
      <c r="P79" s="305">
        <v>7.3416342975206614</v>
      </c>
      <c r="Q79" s="305">
        <v>7.9805481886495331</v>
      </c>
      <c r="R79" s="312">
        <v>15</v>
      </c>
      <c r="S79" s="305">
        <v>3.2039064853901231</v>
      </c>
      <c r="T79" s="305">
        <v>5.0068434559452522</v>
      </c>
      <c r="U79" s="305">
        <v>7.5</v>
      </c>
      <c r="V79" s="305">
        <v>8.2142857142857135</v>
      </c>
      <c r="W79" s="312">
        <v>51</v>
      </c>
      <c r="X79" s="313">
        <v>152</v>
      </c>
      <c r="Y79" s="236">
        <f t="shared" si="2"/>
        <v>19.104892646714898</v>
      </c>
      <c r="Z79" s="25"/>
      <c r="AA79" s="25"/>
      <c r="AB79" s="25"/>
      <c r="AC79" s="25"/>
      <c r="AD79" s="25"/>
      <c r="AE79" s="25"/>
      <c r="AF79" s="25"/>
      <c r="AG79" s="25"/>
      <c r="AH79" s="25"/>
      <c r="AI79" s="25"/>
      <c r="AJ79" s="25"/>
      <c r="AK79" s="25"/>
      <c r="AL79" s="25"/>
      <c r="AM79" s="25"/>
      <c r="AN79" s="25"/>
      <c r="AO79" s="25"/>
      <c r="AP79" s="25"/>
      <c r="AQ79" s="25"/>
      <c r="AR79" s="25"/>
      <c r="AS79" s="25"/>
      <c r="AT79" s="25"/>
      <c r="AU79" s="25"/>
      <c r="AV79" s="25"/>
      <c r="AW79" s="25"/>
    </row>
    <row r="80" spans="1:49" s="13" customFormat="1">
      <c r="A80" s="13">
        <v>64</v>
      </c>
      <c r="B80" s="13">
        <v>0</v>
      </c>
      <c r="C80" s="294" t="s">
        <v>436</v>
      </c>
      <c r="D80" s="294" t="s">
        <v>435</v>
      </c>
      <c r="E80" s="294" t="s">
        <v>107</v>
      </c>
      <c r="F80" s="294" t="s">
        <v>122</v>
      </c>
      <c r="G80" s="350">
        <v>4</v>
      </c>
      <c r="H80" s="351">
        <v>3</v>
      </c>
      <c r="I80">
        <v>0</v>
      </c>
      <c r="J80" s="13">
        <v>0</v>
      </c>
      <c r="K80" s="305">
        <v>8.2036724471816846</v>
      </c>
      <c r="L80" s="305">
        <v>6.2357142857142858</v>
      </c>
      <c r="M80" s="305">
        <v>1.9928354563203659</v>
      </c>
      <c r="N80" s="305">
        <v>5.9568045906699032</v>
      </c>
      <c r="O80" s="311">
        <v>53</v>
      </c>
      <c r="P80" s="305">
        <v>6.039832644628099</v>
      </c>
      <c r="Q80" s="305">
        <v>6.8070468585124484</v>
      </c>
      <c r="R80" s="312">
        <v>111</v>
      </c>
      <c r="S80" s="305">
        <v>3.6296344483020051</v>
      </c>
      <c r="T80" s="305">
        <v>6.1645993726832051</v>
      </c>
      <c r="U80" s="305">
        <v>7.1428571428571432</v>
      </c>
      <c r="V80" s="305">
        <v>6.6666666666666679</v>
      </c>
      <c r="W80" s="312">
        <v>54</v>
      </c>
      <c r="X80" s="313">
        <v>218</v>
      </c>
      <c r="Y80" s="236">
        <f t="shared" si="2"/>
        <v>18.305242961111265</v>
      </c>
      <c r="Z80" s="25"/>
      <c r="AA80" s="25"/>
      <c r="AB80" s="25"/>
      <c r="AC80" s="25"/>
      <c r="AD80" s="25"/>
      <c r="AE80" s="25"/>
      <c r="AF80" s="25"/>
      <c r="AG80" s="25"/>
      <c r="AH80" s="25"/>
      <c r="AI80" s="25"/>
      <c r="AJ80" s="25"/>
      <c r="AK80" s="25"/>
      <c r="AL80" s="25"/>
      <c r="AM80" s="25"/>
      <c r="AN80" s="25"/>
      <c r="AO80" s="25"/>
      <c r="AP80" s="25"/>
      <c r="AQ80" s="25"/>
      <c r="AR80" s="25"/>
      <c r="AS80" s="25"/>
      <c r="AT80" s="25"/>
      <c r="AU80" s="25"/>
      <c r="AV80" s="25"/>
      <c r="AW80" s="25"/>
    </row>
    <row r="81" spans="1:49" s="13" customFormat="1">
      <c r="A81" s="13">
        <v>65</v>
      </c>
      <c r="B81" s="13">
        <v>0</v>
      </c>
      <c r="C81" s="294" t="s">
        <v>275</v>
      </c>
      <c r="D81" s="294" t="s">
        <v>274</v>
      </c>
      <c r="E81" s="294" t="s">
        <v>107</v>
      </c>
      <c r="F81" s="294" t="s">
        <v>122</v>
      </c>
      <c r="G81" s="350">
        <v>4</v>
      </c>
      <c r="H81" s="351">
        <v>3</v>
      </c>
      <c r="I81">
        <v>0</v>
      </c>
      <c r="J81" s="13">
        <v>0</v>
      </c>
      <c r="K81" s="305">
        <v>6.7584219422744027</v>
      </c>
      <c r="L81" s="305">
        <v>3.8542857142857145</v>
      </c>
      <c r="M81" s="305">
        <v>1.6316560158944498</v>
      </c>
      <c r="N81" s="305">
        <v>5.3052225214062467</v>
      </c>
      <c r="O81" s="311">
        <v>136</v>
      </c>
      <c r="P81" s="305">
        <v>7.0206838842975205</v>
      </c>
      <c r="Q81" s="305">
        <v>6.1064609578143942</v>
      </c>
      <c r="R81" s="312">
        <v>93</v>
      </c>
      <c r="S81" s="305">
        <v>2.872542171895907</v>
      </c>
      <c r="T81" s="305">
        <v>2.7756629597946958</v>
      </c>
      <c r="U81" s="305">
        <v>5</v>
      </c>
      <c r="V81" s="305">
        <v>5</v>
      </c>
      <c r="W81" s="312">
        <v>139</v>
      </c>
      <c r="X81" s="313">
        <v>368</v>
      </c>
      <c r="Y81" s="236">
        <f t="shared" si="2"/>
        <v>14.405908789202249</v>
      </c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25"/>
      <c r="AP81" s="25"/>
      <c r="AQ81" s="25"/>
      <c r="AR81" s="25"/>
      <c r="AS81" s="25"/>
      <c r="AT81" s="25"/>
      <c r="AU81" s="25"/>
      <c r="AV81" s="25"/>
      <c r="AW81" s="25"/>
    </row>
    <row r="82" spans="1:49" s="13" customFormat="1">
      <c r="A82" s="13">
        <v>66</v>
      </c>
      <c r="B82" s="13">
        <v>0</v>
      </c>
      <c r="C82" s="294" t="s">
        <v>245</v>
      </c>
      <c r="D82" s="294" t="s">
        <v>138</v>
      </c>
      <c r="E82" s="294" t="s">
        <v>107</v>
      </c>
      <c r="F82" s="294" t="s">
        <v>122</v>
      </c>
      <c r="G82" s="350">
        <v>4</v>
      </c>
      <c r="H82" s="351">
        <v>3</v>
      </c>
      <c r="I82">
        <v>0</v>
      </c>
      <c r="J82" s="13">
        <v>0</v>
      </c>
      <c r="K82" s="305">
        <v>6.9307927859095741</v>
      </c>
      <c r="L82" s="305">
        <v>4.1642857142857146</v>
      </c>
      <c r="M82" s="305">
        <v>1.9031287541911845</v>
      </c>
      <c r="N82" s="305">
        <v>5.7369312045276857</v>
      </c>
      <c r="O82" s="311">
        <v>121</v>
      </c>
      <c r="P82" s="305">
        <v>7.5038946280991734</v>
      </c>
      <c r="Q82" s="305">
        <v>6.5793457176035295</v>
      </c>
      <c r="R82" s="312">
        <v>62</v>
      </c>
      <c r="S82" s="305">
        <v>3.217445884628455</v>
      </c>
      <c r="T82" s="305">
        <v>4.2211291702309666</v>
      </c>
      <c r="U82" s="305">
        <v>5</v>
      </c>
      <c r="V82" s="305">
        <v>5</v>
      </c>
      <c r="W82" s="312">
        <v>134</v>
      </c>
      <c r="X82" s="313">
        <v>317</v>
      </c>
      <c r="Y82" s="236">
        <f t="shared" si="2"/>
        <v>15.622774096046923</v>
      </c>
      <c r="Z82" s="25"/>
      <c r="AA82" s="25"/>
      <c r="AB82" s="25"/>
      <c r="AC82" s="25"/>
      <c r="AD82" s="25"/>
      <c r="AE82" s="25"/>
      <c r="AF82" s="25"/>
      <c r="AG82" s="25"/>
      <c r="AH82" s="25"/>
      <c r="AI82" s="25"/>
      <c r="AJ82" s="25"/>
      <c r="AK82" s="25"/>
      <c r="AL82" s="25"/>
      <c r="AM82" s="25"/>
      <c r="AN82" s="25"/>
      <c r="AO82" s="25"/>
      <c r="AP82" s="25"/>
      <c r="AQ82" s="25"/>
      <c r="AR82" s="25"/>
      <c r="AS82" s="25"/>
      <c r="AT82" s="25"/>
      <c r="AU82" s="25"/>
      <c r="AV82" s="25"/>
      <c r="AW82" s="25"/>
    </row>
    <row r="83" spans="1:49" s="13" customFormat="1">
      <c r="A83" s="13">
        <v>67</v>
      </c>
      <c r="B83" s="13">
        <v>0</v>
      </c>
      <c r="C83" s="294" t="s">
        <v>311</v>
      </c>
      <c r="D83" s="294" t="s">
        <v>310</v>
      </c>
      <c r="E83" s="294" t="s">
        <v>107</v>
      </c>
      <c r="F83" s="294" t="s">
        <v>122</v>
      </c>
      <c r="G83" s="350">
        <v>4</v>
      </c>
      <c r="H83" s="351">
        <v>4</v>
      </c>
      <c r="I83">
        <v>0</v>
      </c>
      <c r="J83" s="13">
        <v>0</v>
      </c>
      <c r="K83" s="305">
        <v>5.553663593437614</v>
      </c>
      <c r="L83" s="305">
        <v>3.45</v>
      </c>
      <c r="M83" s="305">
        <v>1.8887668039942545</v>
      </c>
      <c r="N83" s="305">
        <v>5.0072560444148966</v>
      </c>
      <c r="O83" s="311">
        <v>152</v>
      </c>
      <c r="P83" s="305">
        <v>7.1669338842975208</v>
      </c>
      <c r="Q83" s="305">
        <v>5.5461877677156739</v>
      </c>
      <c r="R83" s="312">
        <v>120</v>
      </c>
      <c r="S83" s="305">
        <v>2.7170637648413485</v>
      </c>
      <c r="T83" s="305">
        <v>3.408682634730539</v>
      </c>
      <c r="U83" s="305">
        <v>3.5714285714285716</v>
      </c>
      <c r="V83" s="305">
        <v>4.2857142857142856</v>
      </c>
      <c r="W83" s="312">
        <v>145</v>
      </c>
      <c r="X83" s="313">
        <v>417</v>
      </c>
      <c r="Y83" s="236">
        <f t="shared" si="2"/>
        <v>13.016831692356053</v>
      </c>
      <c r="Z83" s="25"/>
      <c r="AA83" s="25"/>
      <c r="AB83" s="25"/>
      <c r="AC83" s="25"/>
      <c r="AD83" s="25"/>
      <c r="AE83" s="25"/>
      <c r="AF83" s="25"/>
      <c r="AG83" s="25"/>
      <c r="AH83" s="25"/>
      <c r="AI83" s="25"/>
      <c r="AJ83" s="25"/>
      <c r="AK83" s="25"/>
      <c r="AL83" s="25"/>
      <c r="AM83" s="25"/>
      <c r="AN83" s="25"/>
      <c r="AO83" s="25"/>
      <c r="AP83" s="25"/>
      <c r="AQ83" s="25"/>
      <c r="AR83" s="25"/>
      <c r="AS83" s="25"/>
      <c r="AT83" s="25"/>
      <c r="AU83" s="25"/>
      <c r="AV83" s="25"/>
      <c r="AW83" s="25"/>
    </row>
    <row r="84" spans="1:49" s="13" customFormat="1">
      <c r="A84" s="13">
        <v>68</v>
      </c>
      <c r="B84" s="13">
        <v>0</v>
      </c>
      <c r="C84" s="294" t="s">
        <v>283</v>
      </c>
      <c r="D84" s="294" t="s">
        <v>282</v>
      </c>
      <c r="E84" s="294" t="s">
        <v>107</v>
      </c>
      <c r="F84" s="294" t="s">
        <v>126</v>
      </c>
      <c r="G84" s="350">
        <v>3</v>
      </c>
      <c r="H84" s="351">
        <v>2</v>
      </c>
      <c r="I84">
        <v>0</v>
      </c>
      <c r="J84" s="13">
        <v>0</v>
      </c>
      <c r="K84" s="20">
        <v>6.1486476703160973</v>
      </c>
      <c r="L84" s="20">
        <v>3.7071428571428569</v>
      </c>
      <c r="M84" s="20">
        <v>2.788654562343571</v>
      </c>
      <c r="N84" s="20">
        <v>3.8493135332671726</v>
      </c>
      <c r="O84" s="311">
        <v>143</v>
      </c>
      <c r="P84" s="20">
        <v>6.8314235537190084</v>
      </c>
      <c r="Q84" s="20">
        <v>6.134512666686347</v>
      </c>
      <c r="R84" s="312">
        <v>105</v>
      </c>
      <c r="S84" s="20">
        <v>2.2474667639173584</v>
      </c>
      <c r="T84" s="20">
        <v>1.2679640718562875</v>
      </c>
      <c r="U84" s="20">
        <v>5</v>
      </c>
      <c r="V84" s="20">
        <v>5</v>
      </c>
      <c r="W84" s="312">
        <v>148</v>
      </c>
      <c r="X84" s="313">
        <v>396</v>
      </c>
      <c r="Y84" s="236">
        <f t="shared" si="2"/>
        <v>13.636810031397182</v>
      </c>
      <c r="Z84" s="25"/>
      <c r="AA84" s="25"/>
      <c r="AB84" s="25"/>
      <c r="AC84" s="25"/>
      <c r="AD84" s="25"/>
      <c r="AE84" s="25"/>
      <c r="AF84" s="25"/>
      <c r="AG84" s="25"/>
      <c r="AH84" s="25"/>
      <c r="AI84" s="25"/>
      <c r="AJ84" s="25"/>
      <c r="AK84" s="25"/>
      <c r="AL84" s="25"/>
      <c r="AM84" s="25"/>
      <c r="AN84" s="25"/>
      <c r="AO84" s="25"/>
      <c r="AP84" s="25"/>
      <c r="AQ84" s="25"/>
      <c r="AR84" s="25"/>
      <c r="AS84" s="25"/>
      <c r="AT84" s="25"/>
      <c r="AU84" s="25"/>
      <c r="AV84" s="25"/>
      <c r="AW84" s="25"/>
    </row>
    <row r="85" spans="1:49" s="13" customFormat="1">
      <c r="A85" s="13">
        <v>70</v>
      </c>
      <c r="B85" s="13">
        <v>0</v>
      </c>
      <c r="C85" s="294" t="s">
        <v>277</v>
      </c>
      <c r="D85" s="294" t="s">
        <v>276</v>
      </c>
      <c r="E85" s="294" t="s">
        <v>115</v>
      </c>
      <c r="F85" s="294" t="s">
        <v>118</v>
      </c>
      <c r="G85" s="350">
        <v>3</v>
      </c>
      <c r="H85" s="351">
        <v>3</v>
      </c>
      <c r="I85">
        <v>0</v>
      </c>
      <c r="J85" s="13">
        <v>0</v>
      </c>
      <c r="K85" s="20">
        <v>7.9703798805141801</v>
      </c>
      <c r="L85" s="20">
        <v>3.3333333333333339</v>
      </c>
      <c r="M85" s="20">
        <v>3.0335219795814803</v>
      </c>
      <c r="N85" s="20">
        <v>3.2457991805152524</v>
      </c>
      <c r="O85" s="311">
        <v>135</v>
      </c>
      <c r="P85" s="20">
        <v>7.424884297520661</v>
      </c>
      <c r="Q85" s="20">
        <v>1</v>
      </c>
      <c r="R85" s="312">
        <v>151</v>
      </c>
      <c r="S85" s="20">
        <v>1</v>
      </c>
      <c r="T85" s="20">
        <v>3.990518962075849</v>
      </c>
      <c r="U85" s="20">
        <v>5.7142857142857135</v>
      </c>
      <c r="V85" s="20">
        <v>6.6666666666666679</v>
      </c>
      <c r="W85" s="312">
        <v>136</v>
      </c>
      <c r="X85" s="313">
        <v>422</v>
      </c>
      <c r="Y85" s="236">
        <f t="shared" si="2"/>
        <v>9.7386264292431193</v>
      </c>
      <c r="Z85" s="25"/>
      <c r="AA85" s="25"/>
      <c r="AB85" s="25"/>
      <c r="AC85" s="25"/>
      <c r="AD85" s="25"/>
      <c r="AE85" s="25"/>
      <c r="AF85" s="25"/>
      <c r="AG85" s="25"/>
      <c r="AH85" s="25"/>
      <c r="AI85" s="25"/>
      <c r="AJ85" s="25"/>
      <c r="AK85" s="25"/>
      <c r="AL85" s="25"/>
      <c r="AM85" s="25"/>
      <c r="AN85" s="25"/>
      <c r="AO85" s="25"/>
      <c r="AP85" s="25"/>
      <c r="AQ85" s="25"/>
      <c r="AR85" s="25"/>
      <c r="AS85" s="25"/>
      <c r="AT85" s="25"/>
      <c r="AU85" s="25"/>
      <c r="AV85" s="25"/>
      <c r="AW85" s="25"/>
    </row>
    <row r="86" spans="1:49" s="13" customFormat="1">
      <c r="A86" s="13">
        <v>71</v>
      </c>
      <c r="B86" s="13">
        <v>0</v>
      </c>
      <c r="C86" s="294" t="s">
        <v>442</v>
      </c>
      <c r="D86" s="294" t="s">
        <v>441</v>
      </c>
      <c r="E86" s="294" t="s">
        <v>115</v>
      </c>
      <c r="F86" s="294" t="s">
        <v>124</v>
      </c>
      <c r="G86" s="350">
        <v>3</v>
      </c>
      <c r="H86" s="351">
        <v>3</v>
      </c>
      <c r="I86">
        <v>0</v>
      </c>
      <c r="J86" s="13">
        <v>0</v>
      </c>
      <c r="K86" s="20">
        <v>7.2880756907555746</v>
      </c>
      <c r="L86" s="20">
        <v>4.8833333333333329</v>
      </c>
      <c r="M86" s="20">
        <v>1.8704017477014114</v>
      </c>
      <c r="N86" s="20">
        <v>6.0024213942988478</v>
      </c>
      <c r="O86" s="311">
        <v>96</v>
      </c>
      <c r="P86" s="20">
        <v>6.2866632231404953</v>
      </c>
      <c r="Q86" s="20">
        <v>1</v>
      </c>
      <c r="R86" s="312">
        <v>159</v>
      </c>
      <c r="S86" s="20">
        <v>4.2157700232483659</v>
      </c>
      <c r="T86" s="20">
        <v>6.5158967778728263</v>
      </c>
      <c r="U86" s="20">
        <v>3.8690476190476191</v>
      </c>
      <c r="V86" s="20">
        <v>7.6785714285714288</v>
      </c>
      <c r="W86" s="312">
        <v>74</v>
      </c>
      <c r="X86" s="313">
        <v>329</v>
      </c>
      <c r="Y86" s="236">
        <f t="shared" si="2"/>
        <v>11.580879503707351</v>
      </c>
      <c r="Z86" s="25"/>
      <c r="AA86" s="25"/>
      <c r="AB86" s="25"/>
      <c r="AC86" s="25"/>
      <c r="AD86" s="25"/>
      <c r="AE86" s="25"/>
      <c r="AF86" s="25"/>
      <c r="AG86" s="25"/>
      <c r="AH86" s="25"/>
      <c r="AI86" s="25"/>
      <c r="AJ86" s="25"/>
      <c r="AK86" s="25"/>
      <c r="AL86" s="25"/>
      <c r="AM86" s="25"/>
      <c r="AN86" s="25"/>
      <c r="AO86" s="25"/>
      <c r="AP86" s="25"/>
      <c r="AQ86" s="25"/>
      <c r="AR86" s="25"/>
      <c r="AS86" s="25"/>
      <c r="AT86" s="25"/>
      <c r="AU86" s="25"/>
      <c r="AV86" s="25"/>
      <c r="AW86" s="25"/>
    </row>
    <row r="87" spans="1:49" s="13" customFormat="1">
      <c r="A87" s="13">
        <v>72</v>
      </c>
      <c r="B87" s="13">
        <v>0</v>
      </c>
      <c r="C87" s="294" t="s">
        <v>484</v>
      </c>
      <c r="D87" s="294" t="s">
        <v>483</v>
      </c>
      <c r="E87" s="294" t="s">
        <v>115</v>
      </c>
      <c r="F87" s="294" t="s">
        <v>116</v>
      </c>
      <c r="G87" s="350">
        <v>3</v>
      </c>
      <c r="H87" s="351">
        <v>3</v>
      </c>
      <c r="I87">
        <v>0</v>
      </c>
      <c r="J87" s="13">
        <v>0</v>
      </c>
      <c r="K87" s="20">
        <v>7.4557364836695967</v>
      </c>
      <c r="L87" s="20">
        <v>5.4428571428571422</v>
      </c>
      <c r="M87" s="20">
        <v>2.972305125272003</v>
      </c>
      <c r="N87" s="20">
        <v>5.7119612781076272</v>
      </c>
      <c r="O87" s="311">
        <v>68</v>
      </c>
      <c r="P87" s="20">
        <v>7.2268842975206606</v>
      </c>
      <c r="Q87" s="20">
        <v>5.8421222653084603</v>
      </c>
      <c r="R87" s="312">
        <v>96</v>
      </c>
      <c r="S87" s="20">
        <v>4.0179598564717596</v>
      </c>
      <c r="T87" s="20">
        <v>4.4604362703165101</v>
      </c>
      <c r="U87" s="20">
        <v>3.8571428571428572</v>
      </c>
      <c r="V87" s="20">
        <v>6.6428571428571441</v>
      </c>
      <c r="W87" s="312">
        <v>115</v>
      </c>
      <c r="X87" s="313">
        <v>279</v>
      </c>
      <c r="Y87" s="236">
        <f t="shared" si="2"/>
        <v>15.982436304482121</v>
      </c>
      <c r="Z87" s="25"/>
      <c r="AA87" s="25"/>
      <c r="AB87" s="25"/>
      <c r="AC87" s="25"/>
      <c r="AD87" s="25"/>
      <c r="AE87" s="25"/>
      <c r="AF87" s="25"/>
      <c r="AG87" s="25"/>
      <c r="AH87" s="25"/>
      <c r="AI87" s="25"/>
      <c r="AJ87" s="25"/>
      <c r="AK87" s="25"/>
      <c r="AL87" s="25"/>
      <c r="AM87" s="25"/>
      <c r="AN87" s="25"/>
      <c r="AO87" s="25"/>
      <c r="AP87" s="25"/>
      <c r="AQ87" s="25"/>
      <c r="AR87" s="25"/>
      <c r="AS87" s="25"/>
      <c r="AT87" s="25"/>
      <c r="AU87" s="25"/>
      <c r="AV87" s="25"/>
      <c r="AW87" s="25"/>
    </row>
    <row r="88" spans="1:49" s="13" customFormat="1">
      <c r="A88" s="13">
        <v>73</v>
      </c>
      <c r="B88" s="13">
        <v>0</v>
      </c>
      <c r="C88" s="294" t="s">
        <v>470</v>
      </c>
      <c r="D88" s="294" t="s">
        <v>469</v>
      </c>
      <c r="E88" s="294" t="s">
        <v>115</v>
      </c>
      <c r="F88" s="294" t="s">
        <v>124</v>
      </c>
      <c r="G88" s="350">
        <v>3</v>
      </c>
      <c r="H88" s="351">
        <v>3</v>
      </c>
      <c r="I88">
        <v>0</v>
      </c>
      <c r="J88" s="13">
        <v>0</v>
      </c>
      <c r="K88" s="310">
        <v>8.2156466633284939</v>
      </c>
      <c r="L88" s="310">
        <v>5.3816326530612244</v>
      </c>
      <c r="M88" s="310">
        <v>2.0540523106298432</v>
      </c>
      <c r="N88" s="310">
        <v>5.8557330067161066</v>
      </c>
      <c r="O88" s="311">
        <v>69</v>
      </c>
      <c r="P88" s="310">
        <v>5.9952417355371903</v>
      </c>
      <c r="Q88" s="310">
        <v>6.8688008877051097</v>
      </c>
      <c r="R88" s="312">
        <v>110</v>
      </c>
      <c r="S88" s="310">
        <v>4.1233399667359816</v>
      </c>
      <c r="T88" s="310">
        <v>4.5311621654649885</v>
      </c>
      <c r="U88" s="310">
        <v>3.5714285714285716</v>
      </c>
      <c r="V88" s="310">
        <v>4.1836734693877551</v>
      </c>
      <c r="W88" s="312">
        <v>137</v>
      </c>
      <c r="X88" s="313">
        <v>316</v>
      </c>
      <c r="Y88" s="236">
        <f t="shared" si="2"/>
        <v>16.347968089393351</v>
      </c>
      <c r="Z88" s="25"/>
      <c r="AA88" s="25"/>
      <c r="AB88" s="25"/>
      <c r="AC88" s="25"/>
      <c r="AD88" s="25"/>
      <c r="AE88" s="25"/>
      <c r="AF88" s="25"/>
      <c r="AG88" s="25"/>
      <c r="AH88" s="25"/>
      <c r="AI88" s="25"/>
      <c r="AJ88" s="25"/>
      <c r="AK88" s="25"/>
      <c r="AL88" s="25"/>
      <c r="AM88" s="25"/>
      <c r="AN88" s="25"/>
      <c r="AO88" s="25"/>
      <c r="AP88" s="25"/>
      <c r="AQ88" s="25"/>
      <c r="AR88" s="25"/>
      <c r="AS88" s="25"/>
      <c r="AT88" s="25"/>
      <c r="AU88" s="25"/>
      <c r="AV88" s="25"/>
      <c r="AW88" s="25"/>
    </row>
    <row r="89" spans="1:49" s="13" customFormat="1">
      <c r="A89" s="13">
        <v>74</v>
      </c>
      <c r="B89" s="13">
        <v>0</v>
      </c>
      <c r="C89" s="294" t="s">
        <v>598</v>
      </c>
      <c r="D89" s="294" t="s">
        <v>597</v>
      </c>
      <c r="E89" s="294" t="s">
        <v>109</v>
      </c>
      <c r="F89" s="294" t="s">
        <v>110</v>
      </c>
      <c r="G89" s="350">
        <v>2</v>
      </c>
      <c r="H89" s="351">
        <v>2</v>
      </c>
      <c r="I89">
        <v>0</v>
      </c>
      <c r="J89" s="13">
        <v>0</v>
      </c>
      <c r="K89" s="305">
        <v>7.999458337687031</v>
      </c>
      <c r="L89" s="305">
        <v>6.6642857142857146</v>
      </c>
      <c r="M89" s="305">
        <v>3.9111238276828546</v>
      </c>
      <c r="N89" s="305">
        <v>6.6734248525922233</v>
      </c>
      <c r="O89" s="311">
        <v>18</v>
      </c>
      <c r="P89" s="305">
        <v>7.3270743801652891</v>
      </c>
      <c r="Q89" s="305">
        <v>6.5149717814649746</v>
      </c>
      <c r="R89" s="312">
        <v>68</v>
      </c>
      <c r="S89" s="305">
        <v>4.0466851746928896</v>
      </c>
      <c r="T89" s="305">
        <v>5.9913031080695749</v>
      </c>
      <c r="U89" s="305">
        <v>8.6904761904761898</v>
      </c>
      <c r="V89" s="305">
        <v>9.4047619047619051</v>
      </c>
      <c r="W89" s="312">
        <v>11</v>
      </c>
      <c r="X89" s="313">
        <v>97</v>
      </c>
      <c r="Y89" s="236">
        <f t="shared" si="2"/>
        <v>19.86035155902707</v>
      </c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5"/>
      <c r="AR89" s="25"/>
      <c r="AS89" s="25"/>
      <c r="AT89" s="25"/>
      <c r="AU89" s="25"/>
      <c r="AV89" s="25"/>
      <c r="AW89" s="25"/>
    </row>
    <row r="90" spans="1:49" s="13" customFormat="1">
      <c r="A90" s="13">
        <v>75</v>
      </c>
      <c r="B90" s="13">
        <v>0</v>
      </c>
      <c r="C90" s="294" t="s">
        <v>300</v>
      </c>
      <c r="D90" s="294" t="s">
        <v>299</v>
      </c>
      <c r="E90" s="294" t="s">
        <v>115</v>
      </c>
      <c r="F90" s="294" t="s">
        <v>118</v>
      </c>
      <c r="G90" s="350">
        <v>4</v>
      </c>
      <c r="H90" s="351">
        <v>3</v>
      </c>
      <c r="I90">
        <v>0</v>
      </c>
      <c r="J90" s="13">
        <v>0</v>
      </c>
      <c r="K90" s="305">
        <v>7.1633253033226509</v>
      </c>
      <c r="L90" s="305">
        <v>1.5614285714285714</v>
      </c>
      <c r="M90" s="305">
        <v>2.2377028735582751</v>
      </c>
      <c r="N90" s="305">
        <v>5.2171820947501484</v>
      </c>
      <c r="O90" s="311">
        <v>147</v>
      </c>
      <c r="P90" s="305">
        <v>6.6515537190082643</v>
      </c>
      <c r="Q90" s="305">
        <v>6.0510375513098857</v>
      </c>
      <c r="R90" s="312">
        <v>121</v>
      </c>
      <c r="S90" s="305">
        <v>3.1909225008921696</v>
      </c>
      <c r="T90" s="305">
        <v>4.5168947818648419</v>
      </c>
      <c r="U90" s="305">
        <v>3.9285714285714284</v>
      </c>
      <c r="V90" s="305">
        <v>6.0714285714285712</v>
      </c>
      <c r="W90" s="312">
        <v>130</v>
      </c>
      <c r="X90" s="313">
        <v>398</v>
      </c>
      <c r="Y90" s="236">
        <f t="shared" si="2"/>
        <v>14.52290158276405</v>
      </c>
      <c r="Z90" s="25"/>
      <c r="AA90" s="25"/>
      <c r="AB90" s="25"/>
      <c r="AC90" s="25"/>
      <c r="AD90" s="25"/>
      <c r="AE90" s="25"/>
      <c r="AF90" s="25"/>
      <c r="AG90" s="25"/>
      <c r="AH90" s="25"/>
      <c r="AI90" s="25"/>
      <c r="AJ90" s="25"/>
      <c r="AK90" s="25"/>
      <c r="AL90" s="25"/>
      <c r="AM90" s="25"/>
      <c r="AN90" s="25"/>
      <c r="AO90" s="25"/>
      <c r="AP90" s="25"/>
      <c r="AQ90" s="25"/>
      <c r="AR90" s="25"/>
      <c r="AS90" s="25"/>
      <c r="AT90" s="25"/>
      <c r="AU90" s="25"/>
      <c r="AV90" s="25"/>
      <c r="AW90" s="25"/>
    </row>
    <row r="91" spans="1:49" s="13" customFormat="1">
      <c r="A91" s="13">
        <v>76</v>
      </c>
      <c r="B91" s="13">
        <v>0</v>
      </c>
      <c r="C91" s="294" t="s">
        <v>582</v>
      </c>
      <c r="D91" s="294" t="s">
        <v>581</v>
      </c>
      <c r="E91" s="294" t="s">
        <v>111</v>
      </c>
      <c r="F91" s="294" t="s">
        <v>110</v>
      </c>
      <c r="G91" s="350">
        <v>1</v>
      </c>
      <c r="H91" s="351">
        <v>2</v>
      </c>
      <c r="I91">
        <v>1</v>
      </c>
      <c r="J91" s="13">
        <v>0</v>
      </c>
      <c r="K91" s="305">
        <v>8.2636661539068967</v>
      </c>
      <c r="L91" s="305">
        <v>7.2821428571428566</v>
      </c>
      <c r="M91" s="305">
        <v>4.6578822451770492</v>
      </c>
      <c r="N91" s="305">
        <v>6.1799355188021678</v>
      </c>
      <c r="O91" s="311">
        <v>9</v>
      </c>
      <c r="P91" s="305">
        <v>7.6199648760330572</v>
      </c>
      <c r="Q91" s="305">
        <v>7.6839511983224451</v>
      </c>
      <c r="R91" s="312">
        <v>16</v>
      </c>
      <c r="S91" s="305">
        <v>4.4244752748621572</v>
      </c>
      <c r="T91" s="305">
        <v>5.640504704875962</v>
      </c>
      <c r="U91" s="305">
        <v>6.4285714285714288</v>
      </c>
      <c r="V91" s="305">
        <v>6.6071428571428568</v>
      </c>
      <c r="W91" s="312">
        <v>65</v>
      </c>
      <c r="X91" s="313">
        <v>90</v>
      </c>
      <c r="Y91" s="236">
        <f t="shared" si="2"/>
        <v>20.055031458442791</v>
      </c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5"/>
      <c r="AR91" s="25"/>
      <c r="AS91" s="25"/>
      <c r="AT91" s="25"/>
      <c r="AU91" s="25"/>
      <c r="AV91" s="25"/>
      <c r="AW91" s="25"/>
    </row>
    <row r="92" spans="1:49" s="13" customFormat="1">
      <c r="A92" s="13">
        <v>77</v>
      </c>
      <c r="B92" s="13">
        <v>0</v>
      </c>
      <c r="C92" s="294" t="s">
        <v>474</v>
      </c>
      <c r="D92" s="294" t="s">
        <v>473</v>
      </c>
      <c r="E92" s="294" t="s">
        <v>119</v>
      </c>
      <c r="F92" s="294" t="s">
        <v>125</v>
      </c>
      <c r="G92" s="350">
        <v>3</v>
      </c>
      <c r="H92" s="351">
        <v>3</v>
      </c>
      <c r="I92">
        <v>0</v>
      </c>
      <c r="J92" s="13">
        <v>0</v>
      </c>
      <c r="K92" s="20">
        <v>7.1372800068268534</v>
      </c>
      <c r="L92" s="20">
        <v>4.7523809523809533</v>
      </c>
      <c r="M92" s="20">
        <v>1.44188376753507</v>
      </c>
      <c r="N92" s="20">
        <v>7.3232611556162919</v>
      </c>
      <c r="O92" s="311">
        <v>82</v>
      </c>
      <c r="P92" s="20">
        <v>3.873082644628099</v>
      </c>
      <c r="Q92" s="20">
        <v>6.3435237099409179</v>
      </c>
      <c r="R92" s="312">
        <v>142</v>
      </c>
      <c r="S92" s="20">
        <v>4.3963284712024135</v>
      </c>
      <c r="T92" s="20">
        <v>6.6081408611348724</v>
      </c>
      <c r="U92" s="20">
        <v>7.2619047619047628</v>
      </c>
      <c r="V92" s="20">
        <v>8.9880952380952372</v>
      </c>
      <c r="W92" s="312">
        <v>20</v>
      </c>
      <c r="X92" s="313">
        <v>244</v>
      </c>
      <c r="Y92" s="236">
        <f t="shared" si="2"/>
        <v>18.320842513615034</v>
      </c>
      <c r="Z92" s="25"/>
      <c r="AA92" s="25"/>
      <c r="AB92" s="25"/>
      <c r="AC92" s="25"/>
      <c r="AD92" s="25"/>
      <c r="AE92" s="25"/>
      <c r="AF92" s="25"/>
      <c r="AG92" s="25"/>
      <c r="AH92" s="25"/>
      <c r="AI92" s="25"/>
      <c r="AJ92" s="25"/>
      <c r="AK92" s="25"/>
      <c r="AL92" s="25"/>
      <c r="AM92" s="25"/>
      <c r="AN92" s="25"/>
      <c r="AO92" s="25"/>
      <c r="AP92" s="25"/>
      <c r="AQ92" s="25"/>
      <c r="AR92" s="25"/>
      <c r="AS92" s="25"/>
      <c r="AT92" s="25"/>
      <c r="AU92" s="25"/>
      <c r="AV92" s="25"/>
      <c r="AW92" s="25"/>
    </row>
    <row r="93" spans="1:49" s="13" customFormat="1">
      <c r="A93" s="13">
        <v>78</v>
      </c>
      <c r="B93" s="13">
        <v>0</v>
      </c>
      <c r="C93" s="294" t="s">
        <v>468</v>
      </c>
      <c r="D93" s="294" t="s">
        <v>467</v>
      </c>
      <c r="E93" s="294" t="s">
        <v>106</v>
      </c>
      <c r="F93" s="294" t="s">
        <v>106</v>
      </c>
      <c r="G93" s="350">
        <v>3</v>
      </c>
      <c r="H93" s="351">
        <v>3</v>
      </c>
      <c r="I93">
        <v>0</v>
      </c>
      <c r="J93" s="13">
        <v>0</v>
      </c>
      <c r="K93" s="20">
        <v>6.6610552917711416</v>
      </c>
      <c r="L93" s="20">
        <v>5.3301343101343104</v>
      </c>
      <c r="M93" s="20">
        <v>1.9928354563203659</v>
      </c>
      <c r="N93" s="20">
        <v>5.4373493710655119</v>
      </c>
      <c r="O93" s="311">
        <v>108</v>
      </c>
      <c r="P93" s="20">
        <v>5.6046342975206613</v>
      </c>
      <c r="Q93" s="20">
        <v>6.4380183431417812</v>
      </c>
      <c r="R93" s="312">
        <v>130</v>
      </c>
      <c r="S93" s="20">
        <v>4.5602205767391517</v>
      </c>
      <c r="T93" s="20">
        <v>7.7663848127919985</v>
      </c>
      <c r="U93" s="20">
        <v>8.8461538461538467</v>
      </c>
      <c r="V93" s="20">
        <v>9.4627594627594629</v>
      </c>
      <c r="W93" s="312">
        <v>1</v>
      </c>
      <c r="X93" s="313">
        <v>239</v>
      </c>
      <c r="Y93" s="236">
        <f t="shared" si="2"/>
        <v>18.952241625075729</v>
      </c>
      <c r="Z93" s="25"/>
      <c r="AA93" s="25"/>
      <c r="AB93" s="25"/>
      <c r="AC93" s="25"/>
      <c r="AD93" s="25"/>
      <c r="AE93" s="25"/>
      <c r="AF93" s="25"/>
      <c r="AG93" s="25"/>
      <c r="AH93" s="25"/>
      <c r="AI93" s="25"/>
      <c r="AJ93" s="25"/>
      <c r="AK93" s="25"/>
      <c r="AL93" s="25"/>
      <c r="AM93" s="25"/>
      <c r="AN93" s="25"/>
      <c r="AO93" s="25"/>
      <c r="AP93" s="25"/>
      <c r="AQ93" s="25"/>
      <c r="AR93" s="25"/>
      <c r="AS93" s="25"/>
      <c r="AT93" s="25"/>
      <c r="AU93" s="25"/>
      <c r="AV93" s="25"/>
      <c r="AW93" s="25"/>
    </row>
    <row r="94" spans="1:49" s="13" customFormat="1">
      <c r="A94" s="13">
        <v>80</v>
      </c>
      <c r="B94" s="13">
        <v>0</v>
      </c>
      <c r="C94" s="294" t="s">
        <v>450</v>
      </c>
      <c r="D94" s="294" t="s">
        <v>139</v>
      </c>
      <c r="E94" s="294" t="s">
        <v>113</v>
      </c>
      <c r="F94" s="294" t="s">
        <v>106</v>
      </c>
      <c r="G94" s="350">
        <v>2</v>
      </c>
      <c r="H94" s="351">
        <v>2</v>
      </c>
      <c r="I94">
        <v>0</v>
      </c>
      <c r="J94" s="13">
        <v>0</v>
      </c>
      <c r="K94" s="305">
        <v>7.4852033156039797</v>
      </c>
      <c r="L94" s="305">
        <v>4.3049999999999997</v>
      </c>
      <c r="M94" s="305">
        <v>1.9459326378078043</v>
      </c>
      <c r="N94" s="305">
        <v>6.6770002808983442</v>
      </c>
      <c r="O94" s="311">
        <v>89</v>
      </c>
      <c r="P94" s="305">
        <v>7.2673842975206604</v>
      </c>
      <c r="Q94" s="305">
        <v>5.4637482469647702</v>
      </c>
      <c r="R94" s="312">
        <v>118</v>
      </c>
      <c r="S94" s="305">
        <v>3.5029993915025579</v>
      </c>
      <c r="T94" s="305">
        <v>6.1255346449957226</v>
      </c>
      <c r="U94" s="305">
        <v>6.5714285714285712</v>
      </c>
      <c r="V94" s="305">
        <v>7.4285714285714288</v>
      </c>
      <c r="W94" s="312">
        <v>53</v>
      </c>
      <c r="X94" s="313">
        <v>260</v>
      </c>
      <c r="Y94" s="236">
        <f t="shared" si="2"/>
        <v>16.474165814666872</v>
      </c>
      <c r="Z94" s="25"/>
      <c r="AA94" s="25"/>
      <c r="AB94" s="25"/>
      <c r="AC94" s="25"/>
      <c r="AD94" s="25"/>
      <c r="AE94" s="25"/>
      <c r="AF94" s="25"/>
      <c r="AG94" s="25"/>
      <c r="AH94" s="25"/>
      <c r="AI94" s="25"/>
      <c r="AJ94" s="25"/>
      <c r="AK94" s="25"/>
      <c r="AL94" s="25"/>
      <c r="AM94" s="25"/>
      <c r="AN94" s="25"/>
      <c r="AO94" s="25"/>
      <c r="AP94" s="25"/>
      <c r="AQ94" s="25"/>
      <c r="AR94" s="25"/>
      <c r="AS94" s="25"/>
      <c r="AT94" s="25"/>
      <c r="AU94" s="25"/>
      <c r="AV94" s="25"/>
      <c r="AW94" s="25"/>
    </row>
    <row r="95" spans="1:49" s="13" customFormat="1">
      <c r="A95" s="13">
        <v>81</v>
      </c>
      <c r="B95" s="13">
        <v>0</v>
      </c>
      <c r="C95" s="294" t="s">
        <v>315</v>
      </c>
      <c r="D95" s="294" t="s">
        <v>314</v>
      </c>
      <c r="E95" s="294" t="s">
        <v>113</v>
      </c>
      <c r="F95" s="294" t="s">
        <v>140</v>
      </c>
      <c r="G95" s="350"/>
      <c r="H95" s="351">
        <v>3</v>
      </c>
      <c r="I95">
        <v>0</v>
      </c>
      <c r="J95" s="13">
        <v>0</v>
      </c>
      <c r="K95" s="20">
        <v>6.0475158184807167</v>
      </c>
      <c r="L95" s="20">
        <v>1.2233333333333332</v>
      </c>
      <c r="M95" s="20">
        <v>2.2377028735582751</v>
      </c>
      <c r="N95" s="20">
        <v>5.5958187171140414</v>
      </c>
      <c r="O95" s="311">
        <v>158</v>
      </c>
      <c r="P95" s="20">
        <v>7.3833243801652895</v>
      </c>
      <c r="Q95" s="20">
        <v>2.5586840664042634</v>
      </c>
      <c r="R95" s="312">
        <v>143</v>
      </c>
      <c r="S95" s="20">
        <v>1.2220853468287978</v>
      </c>
      <c r="T95" s="20">
        <v>5.0986598232107223</v>
      </c>
      <c r="U95" s="20">
        <v>2.3809523809523809</v>
      </c>
      <c r="V95" s="20">
        <v>4.2857142857142856</v>
      </c>
      <c r="W95" s="312">
        <v>152</v>
      </c>
      <c r="X95" s="313">
        <v>453</v>
      </c>
      <c r="Y95" s="236">
        <f t="shared" si="2"/>
        <v>9.5816297112024014</v>
      </c>
      <c r="Z95" s="25"/>
      <c r="AA95" s="25"/>
      <c r="AB95" s="25"/>
      <c r="AC95" s="25"/>
      <c r="AD95" s="25"/>
      <c r="AE95" s="25"/>
      <c r="AF95" s="25"/>
      <c r="AG95" s="25"/>
      <c r="AH95" s="25"/>
      <c r="AI95" s="25"/>
      <c r="AJ95" s="25"/>
      <c r="AK95" s="25"/>
      <c r="AL95" s="25"/>
      <c r="AM95" s="25"/>
      <c r="AN95" s="25"/>
      <c r="AO95" s="25"/>
      <c r="AP95" s="25"/>
      <c r="AQ95" s="25"/>
      <c r="AR95" s="25"/>
      <c r="AS95" s="25"/>
      <c r="AT95" s="25"/>
      <c r="AU95" s="25"/>
      <c r="AV95" s="25"/>
      <c r="AW95" s="25"/>
    </row>
    <row r="96" spans="1:49" s="13" customFormat="1">
      <c r="A96" s="13">
        <v>83</v>
      </c>
      <c r="B96" s="13">
        <v>0</v>
      </c>
      <c r="C96" s="294" t="s">
        <v>570</v>
      </c>
      <c r="D96" s="294" t="s">
        <v>569</v>
      </c>
      <c r="E96" s="294" t="s">
        <v>113</v>
      </c>
      <c r="F96" s="294" t="s">
        <v>112</v>
      </c>
      <c r="G96" s="350">
        <v>1</v>
      </c>
      <c r="H96" s="351">
        <v>2</v>
      </c>
      <c r="I96">
        <v>0</v>
      </c>
      <c r="J96" s="13">
        <v>0</v>
      </c>
      <c r="K96" s="305">
        <v>8.0413903637503346</v>
      </c>
      <c r="L96" s="305">
        <v>6.0857142857142854</v>
      </c>
      <c r="M96" s="305">
        <v>4.5801799951834994</v>
      </c>
      <c r="N96" s="305">
        <v>6.3587967180502103</v>
      </c>
      <c r="O96" s="311">
        <v>20</v>
      </c>
      <c r="P96" s="305">
        <v>7.5716549586776853</v>
      </c>
      <c r="Q96" s="305">
        <v>7.7580079480267861</v>
      </c>
      <c r="R96" s="312">
        <v>14</v>
      </c>
      <c r="S96" s="305">
        <v>4.4123776641064838</v>
      </c>
      <c r="T96" s="305">
        <v>6.9108925007128601</v>
      </c>
      <c r="U96" s="305">
        <v>9.5238095238095237</v>
      </c>
      <c r="V96" s="305">
        <v>8.8095238095238084</v>
      </c>
      <c r="W96" s="312">
        <v>3</v>
      </c>
      <c r="X96" s="313">
        <v>37</v>
      </c>
      <c r="Y96" s="236">
        <f t="shared" si="2"/>
        <v>21.438679163239538</v>
      </c>
      <c r="Z96" s="25"/>
      <c r="AA96" s="25"/>
      <c r="AB96" s="25"/>
      <c r="AC96" s="25"/>
      <c r="AD96" s="25"/>
      <c r="AE96" s="25"/>
      <c r="AF96" s="25"/>
      <c r="AG96" s="25"/>
      <c r="AH96" s="25"/>
      <c r="AI96" s="25"/>
      <c r="AJ96" s="25"/>
      <c r="AK96" s="25"/>
      <c r="AL96" s="25"/>
      <c r="AM96" s="25"/>
      <c r="AN96" s="25"/>
      <c r="AO96" s="25"/>
      <c r="AP96" s="25"/>
      <c r="AQ96" s="25"/>
      <c r="AR96" s="25"/>
      <c r="AS96" s="25"/>
      <c r="AT96" s="25"/>
      <c r="AU96" s="25"/>
      <c r="AV96" s="25"/>
      <c r="AW96" s="25"/>
    </row>
    <row r="97" spans="1:49" s="13" customFormat="1">
      <c r="A97" s="13">
        <v>85</v>
      </c>
      <c r="B97" s="13">
        <v>0</v>
      </c>
      <c r="C97" s="294" t="s">
        <v>382</v>
      </c>
      <c r="D97" s="294" t="s">
        <v>381</v>
      </c>
      <c r="E97" s="294" t="s">
        <v>115</v>
      </c>
      <c r="F97" s="294" t="s">
        <v>118</v>
      </c>
      <c r="G97" s="350">
        <v>2</v>
      </c>
      <c r="H97" s="351">
        <v>3</v>
      </c>
      <c r="I97">
        <v>0</v>
      </c>
      <c r="J97" s="13">
        <v>0</v>
      </c>
      <c r="K97" s="305">
        <v>7.7378029183369801</v>
      </c>
      <c r="L97" s="305">
        <v>5.0023809523809533</v>
      </c>
      <c r="M97" s="305">
        <v>2.6662208537246164</v>
      </c>
      <c r="N97" s="305">
        <v>5.7055415895887771</v>
      </c>
      <c r="O97" s="311">
        <v>76</v>
      </c>
      <c r="P97" s="305">
        <v>6.8814442148760335</v>
      </c>
      <c r="Q97" s="305">
        <v>7.5179277347999989</v>
      </c>
      <c r="R97" s="312">
        <v>44</v>
      </c>
      <c r="S97" s="305">
        <v>3.7794208152827</v>
      </c>
      <c r="T97" s="305">
        <v>4.8402658967778729</v>
      </c>
      <c r="U97" s="305">
        <v>4.0178571428571432</v>
      </c>
      <c r="V97" s="305">
        <v>5.0595238095238102</v>
      </c>
      <c r="W97" s="312">
        <v>131</v>
      </c>
      <c r="X97" s="313">
        <v>251</v>
      </c>
      <c r="Y97" s="236">
        <f t="shared" si="2"/>
        <v>17.220181229418213</v>
      </c>
      <c r="Z97" s="25"/>
      <c r="AA97" s="25"/>
      <c r="AB97" s="25"/>
      <c r="AC97" s="25"/>
      <c r="AD97" s="25"/>
      <c r="AE97" s="25"/>
      <c r="AF97" s="25"/>
      <c r="AG97" s="25"/>
      <c r="AH97" s="25"/>
      <c r="AI97" s="25"/>
      <c r="AJ97" s="25"/>
      <c r="AK97" s="25"/>
      <c r="AL97" s="25"/>
      <c r="AM97" s="25"/>
      <c r="AN97" s="25"/>
      <c r="AO97" s="25"/>
      <c r="AP97" s="25"/>
      <c r="AQ97" s="25"/>
      <c r="AR97" s="25"/>
      <c r="AS97" s="25"/>
      <c r="AT97" s="25"/>
      <c r="AU97" s="25"/>
      <c r="AV97" s="25"/>
      <c r="AW97" s="25"/>
    </row>
    <row r="98" spans="1:49" s="13" customFormat="1">
      <c r="A98" s="13">
        <v>86</v>
      </c>
      <c r="B98" s="13">
        <v>0</v>
      </c>
      <c r="C98" s="294" t="s">
        <v>588</v>
      </c>
      <c r="D98" s="294" t="s">
        <v>587</v>
      </c>
      <c r="E98" s="294" t="s">
        <v>113</v>
      </c>
      <c r="F98" s="294" t="s">
        <v>140</v>
      </c>
      <c r="G98" s="350">
        <v>2</v>
      </c>
      <c r="H98" s="351">
        <v>3</v>
      </c>
      <c r="I98">
        <v>0</v>
      </c>
      <c r="J98" s="13">
        <v>0</v>
      </c>
      <c r="K98" s="305">
        <v>7.1639751607992466</v>
      </c>
      <c r="L98" s="305">
        <v>6.5678571428571431</v>
      </c>
      <c r="M98" s="305">
        <v>2.6666982032734996</v>
      </c>
      <c r="N98" s="305">
        <v>6.6954693210885061</v>
      </c>
      <c r="O98" s="311">
        <v>40</v>
      </c>
      <c r="P98" s="305">
        <v>7.3348842975206612</v>
      </c>
      <c r="Q98" s="305">
        <v>7.5420914208167256</v>
      </c>
      <c r="R98" s="312">
        <v>28</v>
      </c>
      <c r="S98" s="305">
        <v>3.3551645941078285</v>
      </c>
      <c r="T98" s="305">
        <v>5.8479469632164243</v>
      </c>
      <c r="U98" s="305">
        <v>8.5714285714285712</v>
      </c>
      <c r="V98" s="305">
        <v>9.4642857142857135</v>
      </c>
      <c r="W98" s="312">
        <v>22</v>
      </c>
      <c r="X98" s="313">
        <v>90</v>
      </c>
      <c r="Y98" s="236">
        <f t="shared" ref="Y98:Y129" si="3">(((AVERAGE(K98:N98)+AVERAGE(Q98+AVERAGE(S98:V98)))))</f>
        <v>20.125297838580959</v>
      </c>
      <c r="Z98" s="25"/>
      <c r="AA98" s="25"/>
      <c r="AB98" s="25"/>
      <c r="AC98" s="25"/>
      <c r="AD98" s="25"/>
      <c r="AE98" s="25"/>
      <c r="AF98" s="25"/>
      <c r="AG98" s="25"/>
      <c r="AH98" s="25"/>
      <c r="AI98" s="25"/>
      <c r="AJ98" s="25"/>
      <c r="AK98" s="25"/>
      <c r="AL98" s="25"/>
      <c r="AM98" s="25"/>
      <c r="AN98" s="25"/>
      <c r="AO98" s="25"/>
      <c r="AP98" s="25"/>
      <c r="AQ98" s="25"/>
      <c r="AR98" s="25"/>
      <c r="AS98" s="25"/>
      <c r="AT98" s="25"/>
      <c r="AU98" s="25"/>
      <c r="AV98" s="25"/>
      <c r="AW98" s="25"/>
    </row>
    <row r="99" spans="1:49" s="13" customFormat="1">
      <c r="A99" s="13">
        <v>88</v>
      </c>
      <c r="B99" s="13">
        <v>0</v>
      </c>
      <c r="C99" s="294" t="s">
        <v>656</v>
      </c>
      <c r="D99" s="294" t="s">
        <v>655</v>
      </c>
      <c r="E99" s="294" t="s">
        <v>109</v>
      </c>
      <c r="F99" s="294" t="s">
        <v>141</v>
      </c>
      <c r="G99" s="350">
        <v>2</v>
      </c>
      <c r="H99" s="351">
        <v>2</v>
      </c>
      <c r="I99">
        <v>0</v>
      </c>
      <c r="J99" s="13">
        <v>0</v>
      </c>
      <c r="K99" s="20">
        <v>8.1444420182880481</v>
      </c>
      <c r="L99" s="20">
        <v>4.4928571428571438</v>
      </c>
      <c r="M99" s="20">
        <v>5.3402127215804995</v>
      </c>
      <c r="N99" s="20">
        <v>6.4298307985166883</v>
      </c>
      <c r="O99" s="311">
        <v>26</v>
      </c>
      <c r="P99" s="20">
        <v>7.3595041322314048</v>
      </c>
      <c r="Q99" s="20">
        <v>7.0125184930521929</v>
      </c>
      <c r="R99" s="312">
        <v>46</v>
      </c>
      <c r="S99" s="20">
        <v>2.8635219375160665</v>
      </c>
      <c r="T99" s="20">
        <v>5.1315226689478184</v>
      </c>
      <c r="U99" s="20">
        <v>6.4285714285714288</v>
      </c>
      <c r="V99" s="20">
        <v>7.8571428571428568</v>
      </c>
      <c r="W99" s="312">
        <v>73</v>
      </c>
      <c r="X99" s="313">
        <v>145</v>
      </c>
      <c r="Y99" s="236">
        <f t="shared" si="3"/>
        <v>18.684543886407333</v>
      </c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5"/>
      <c r="AS99" s="25"/>
      <c r="AT99" s="25"/>
      <c r="AU99" s="25"/>
      <c r="AV99" s="25"/>
      <c r="AW99" s="25"/>
    </row>
    <row r="100" spans="1:49" s="13" customFormat="1">
      <c r="A100" s="13">
        <v>89</v>
      </c>
      <c r="B100" s="13">
        <v>0</v>
      </c>
      <c r="C100" s="294" t="s">
        <v>430</v>
      </c>
      <c r="D100" s="294" t="s">
        <v>429</v>
      </c>
      <c r="E100" s="294" t="s">
        <v>107</v>
      </c>
      <c r="F100" s="294" t="s">
        <v>121</v>
      </c>
      <c r="G100" s="350">
        <v>4</v>
      </c>
      <c r="H100" s="351">
        <v>3</v>
      </c>
      <c r="I100">
        <v>0</v>
      </c>
      <c r="J100" s="13">
        <v>0</v>
      </c>
      <c r="K100" s="20">
        <v>6.518316707506985</v>
      </c>
      <c r="L100" s="20">
        <v>4.5164285714285715</v>
      </c>
      <c r="M100" s="20">
        <v>2.2989197278677524</v>
      </c>
      <c r="N100" s="20">
        <v>5.5335025114660699</v>
      </c>
      <c r="O100" s="311">
        <v>117</v>
      </c>
      <c r="P100" s="20">
        <v>6.4965640495867767</v>
      </c>
      <c r="Q100" s="20">
        <v>6.872300448267481</v>
      </c>
      <c r="R100" s="312">
        <v>86</v>
      </c>
      <c r="S100" s="20">
        <v>3.3485487234938938</v>
      </c>
      <c r="T100" s="20">
        <v>6.0470487596236104</v>
      </c>
      <c r="U100" s="20">
        <v>9.1547619047619051</v>
      </c>
      <c r="V100" s="20">
        <v>9.3214285714285712</v>
      </c>
      <c r="W100" s="312">
        <v>13</v>
      </c>
      <c r="X100" s="313">
        <v>216</v>
      </c>
      <c r="Y100" s="236">
        <f t="shared" si="3"/>
        <v>18.557039317661818</v>
      </c>
      <c r="Z100" s="25"/>
      <c r="AA100" s="25"/>
      <c r="AB100" s="25"/>
      <c r="AC100" s="25"/>
      <c r="AD100" s="25"/>
      <c r="AE100" s="25"/>
      <c r="AF100" s="25"/>
      <c r="AG100" s="25"/>
      <c r="AH100" s="25"/>
      <c r="AI100" s="25"/>
      <c r="AJ100" s="25"/>
      <c r="AK100" s="25"/>
      <c r="AL100" s="25"/>
      <c r="AM100" s="25"/>
      <c r="AN100" s="25"/>
      <c r="AO100" s="25"/>
      <c r="AP100" s="25"/>
      <c r="AQ100" s="25"/>
      <c r="AR100" s="25"/>
      <c r="AS100" s="25"/>
      <c r="AT100" s="25"/>
      <c r="AU100" s="25"/>
      <c r="AV100" s="25"/>
      <c r="AW100" s="25"/>
    </row>
    <row r="101" spans="1:49" s="13" customFormat="1">
      <c r="A101" s="13">
        <v>90</v>
      </c>
      <c r="B101" s="13">
        <v>0</v>
      </c>
      <c r="C101" s="294" t="s">
        <v>622</v>
      </c>
      <c r="D101" s="294" t="s">
        <v>142</v>
      </c>
      <c r="E101" s="294" t="s">
        <v>109</v>
      </c>
      <c r="F101" s="294" t="s">
        <v>141</v>
      </c>
      <c r="G101" s="350">
        <v>3</v>
      </c>
      <c r="H101" s="351">
        <v>3</v>
      </c>
      <c r="I101">
        <v>0</v>
      </c>
      <c r="J101" s="13">
        <v>0</v>
      </c>
      <c r="K101" s="20">
        <v>7.4162052421301636</v>
      </c>
      <c r="L101" s="20">
        <v>5.5428571428571436</v>
      </c>
      <c r="M101" s="20">
        <v>3.6431544419310722</v>
      </c>
      <c r="N101" s="20">
        <v>6.084004387697882</v>
      </c>
      <c r="O101" s="311">
        <v>48</v>
      </c>
      <c r="P101" s="20">
        <v>7.5027045454545451</v>
      </c>
      <c r="Q101" s="20">
        <v>7.1842702048534433</v>
      </c>
      <c r="R101" s="312">
        <v>33</v>
      </c>
      <c r="S101" s="20">
        <v>3.7418938719755777</v>
      </c>
      <c r="T101" s="20">
        <v>5.1392215568862278</v>
      </c>
      <c r="U101" s="20">
        <v>7.2857142857142856</v>
      </c>
      <c r="V101" s="20">
        <v>9.5714285714285712</v>
      </c>
      <c r="W101" s="312">
        <v>37</v>
      </c>
      <c r="X101" s="313">
        <v>118</v>
      </c>
      <c r="Y101" s="236">
        <f t="shared" si="3"/>
        <v>19.290390080008677</v>
      </c>
      <c r="Z101" s="25"/>
      <c r="AA101" s="25"/>
      <c r="AB101" s="25"/>
      <c r="AC101" s="25"/>
      <c r="AD101" s="25"/>
      <c r="AE101" s="25"/>
      <c r="AF101" s="25"/>
      <c r="AG101" s="25"/>
      <c r="AH101" s="25"/>
      <c r="AI101" s="25"/>
      <c r="AJ101" s="25"/>
      <c r="AK101" s="25"/>
      <c r="AL101" s="25"/>
      <c r="AM101" s="25"/>
      <c r="AN101" s="25"/>
      <c r="AO101" s="25"/>
      <c r="AP101" s="25"/>
      <c r="AQ101" s="25"/>
      <c r="AR101" s="25"/>
      <c r="AS101" s="25"/>
      <c r="AT101" s="25"/>
      <c r="AU101" s="25"/>
      <c r="AV101" s="25"/>
      <c r="AW101" s="25"/>
    </row>
    <row r="102" spans="1:49" s="13" customFormat="1">
      <c r="A102" s="13">
        <v>91</v>
      </c>
      <c r="B102" s="13">
        <v>0</v>
      </c>
      <c r="C102" s="294" t="s">
        <v>492</v>
      </c>
      <c r="D102" s="294" t="s">
        <v>491</v>
      </c>
      <c r="E102" s="294" t="s">
        <v>119</v>
      </c>
      <c r="F102" s="294" t="s">
        <v>125</v>
      </c>
      <c r="G102" s="350">
        <v>3</v>
      </c>
      <c r="H102" s="351">
        <v>3</v>
      </c>
      <c r="I102">
        <v>0</v>
      </c>
      <c r="J102" s="13">
        <v>0</v>
      </c>
      <c r="K102" s="20">
        <v>5.9751382306982581</v>
      </c>
      <c r="L102" s="20">
        <v>5.1878231292517007</v>
      </c>
      <c r="M102" s="20">
        <v>1.8091848933919343</v>
      </c>
      <c r="N102" s="20">
        <v>5.4915591487365649</v>
      </c>
      <c r="O102" s="311">
        <v>125</v>
      </c>
      <c r="P102" s="20">
        <v>6.3480826446281</v>
      </c>
      <c r="Q102" s="20">
        <v>6.6667810843811344</v>
      </c>
      <c r="R102" s="312">
        <v>100</v>
      </c>
      <c r="S102" s="20">
        <v>3.0277330868550671</v>
      </c>
      <c r="T102" s="20">
        <v>6.479754776161962</v>
      </c>
      <c r="U102" s="20">
        <v>7.2902494331065757</v>
      </c>
      <c r="V102" s="20">
        <v>8.9342403628117921</v>
      </c>
      <c r="W102" s="312">
        <v>38</v>
      </c>
      <c r="X102" s="313">
        <v>263</v>
      </c>
      <c r="Y102" s="236">
        <f t="shared" si="3"/>
        <v>17.715701849634598</v>
      </c>
      <c r="Z102" s="25"/>
      <c r="AA102" s="25"/>
      <c r="AB102" s="25"/>
      <c r="AC102" s="25"/>
      <c r="AD102" s="25"/>
      <c r="AE102" s="25"/>
      <c r="AF102" s="25"/>
      <c r="AG102" s="25"/>
      <c r="AH102" s="25"/>
      <c r="AI102" s="25"/>
      <c r="AJ102" s="25"/>
      <c r="AK102" s="25"/>
      <c r="AL102" s="25"/>
      <c r="AM102" s="25"/>
      <c r="AN102" s="25"/>
      <c r="AO102" s="25"/>
      <c r="AP102" s="25"/>
      <c r="AQ102" s="25"/>
      <c r="AR102" s="25"/>
      <c r="AS102" s="25"/>
      <c r="AT102" s="25"/>
      <c r="AU102" s="25"/>
      <c r="AV102" s="25"/>
      <c r="AW102" s="25"/>
    </row>
    <row r="103" spans="1:49" s="13" customFormat="1">
      <c r="A103" s="13">
        <v>92</v>
      </c>
      <c r="B103" s="13">
        <v>0</v>
      </c>
      <c r="C103" s="294" t="s">
        <v>273</v>
      </c>
      <c r="D103" s="294" t="s">
        <v>272</v>
      </c>
      <c r="E103" s="294" t="s">
        <v>119</v>
      </c>
      <c r="F103" s="294" t="s">
        <v>136</v>
      </c>
      <c r="G103" s="350"/>
      <c r="H103" s="351">
        <v>3</v>
      </c>
      <c r="I103">
        <v>0</v>
      </c>
      <c r="J103" s="13">
        <v>0</v>
      </c>
      <c r="K103" s="305">
        <v>6.3991549990055443</v>
      </c>
      <c r="L103" s="305">
        <v>5.2234693877551015</v>
      </c>
      <c r="M103" s="305">
        <v>2.3662582676081776</v>
      </c>
      <c r="N103" s="305">
        <v>6.0410221205070176</v>
      </c>
      <c r="O103" s="311">
        <v>97</v>
      </c>
      <c r="P103" s="305">
        <v>1</v>
      </c>
      <c r="Q103" s="305">
        <v>5.5722526141269313</v>
      </c>
      <c r="R103" s="312">
        <v>163</v>
      </c>
      <c r="S103" s="305">
        <v>1</v>
      </c>
      <c r="T103" s="305">
        <v>1</v>
      </c>
      <c r="U103" s="305">
        <v>6.4285714285714288</v>
      </c>
      <c r="V103" s="305">
        <v>3.5714285714285716</v>
      </c>
      <c r="W103" s="312">
        <v>156</v>
      </c>
      <c r="X103" s="313">
        <v>416</v>
      </c>
      <c r="Y103" s="236">
        <f t="shared" si="3"/>
        <v>13.579728807845891</v>
      </c>
      <c r="Z103" s="25"/>
      <c r="AA103" s="25"/>
      <c r="AB103" s="25"/>
      <c r="AC103" s="25"/>
      <c r="AD103" s="25"/>
      <c r="AE103" s="25"/>
      <c r="AF103" s="25"/>
      <c r="AG103" s="25"/>
      <c r="AH103" s="25"/>
      <c r="AI103" s="25"/>
      <c r="AJ103" s="25"/>
      <c r="AK103" s="25"/>
      <c r="AL103" s="25"/>
      <c r="AM103" s="25"/>
      <c r="AN103" s="25"/>
      <c r="AO103" s="25"/>
      <c r="AP103" s="25"/>
      <c r="AQ103" s="25"/>
      <c r="AR103" s="25"/>
      <c r="AS103" s="25"/>
      <c r="AT103" s="25"/>
      <c r="AU103" s="25"/>
      <c r="AV103" s="25"/>
      <c r="AW103" s="25"/>
    </row>
    <row r="104" spans="1:49" s="13" customFormat="1">
      <c r="A104" s="13">
        <v>93</v>
      </c>
      <c r="B104" s="13">
        <v>0</v>
      </c>
      <c r="C104" s="294" t="s">
        <v>472</v>
      </c>
      <c r="D104" s="294" t="s">
        <v>143</v>
      </c>
      <c r="E104" s="294" t="s">
        <v>115</v>
      </c>
      <c r="F104" s="294" t="s">
        <v>118</v>
      </c>
      <c r="G104" s="350">
        <v>2</v>
      </c>
      <c r="H104" s="351">
        <v>2</v>
      </c>
      <c r="I104">
        <v>0</v>
      </c>
      <c r="J104" s="13">
        <v>0</v>
      </c>
      <c r="K104" s="305">
        <v>7.867433303399606</v>
      </c>
      <c r="L104" s="305">
        <v>1</v>
      </c>
      <c r="M104" s="305">
        <v>4.9312444631752772</v>
      </c>
      <c r="N104" s="305">
        <v>5.6247331623129959</v>
      </c>
      <c r="O104" s="311">
        <v>107</v>
      </c>
      <c r="P104" s="305">
        <v>7.4338842975206614</v>
      </c>
      <c r="Q104" s="305">
        <v>1</v>
      </c>
      <c r="R104" s="312">
        <v>149</v>
      </c>
      <c r="S104" s="305">
        <v>1</v>
      </c>
      <c r="T104" s="305">
        <v>1</v>
      </c>
      <c r="U104" s="305">
        <v>4.5238095238095237</v>
      </c>
      <c r="V104" s="305">
        <v>7.1088435374149661</v>
      </c>
      <c r="W104" s="312">
        <v>150</v>
      </c>
      <c r="X104" s="313">
        <v>406</v>
      </c>
      <c r="Y104" s="236">
        <f t="shared" si="3"/>
        <v>9.2640159975280909</v>
      </c>
      <c r="Z104" s="25"/>
      <c r="AA104" s="25"/>
      <c r="AB104" s="25"/>
      <c r="AC104" s="25"/>
      <c r="AD104" s="25"/>
      <c r="AE104" s="25"/>
      <c r="AF104" s="25"/>
      <c r="AG104" s="25"/>
      <c r="AH104" s="25"/>
      <c r="AI104" s="25"/>
      <c r="AJ104" s="25"/>
      <c r="AK104" s="25"/>
      <c r="AL104" s="25"/>
      <c r="AM104" s="25"/>
      <c r="AN104" s="25"/>
      <c r="AO104" s="25"/>
      <c r="AP104" s="25"/>
      <c r="AQ104" s="25"/>
      <c r="AR104" s="25"/>
      <c r="AS104" s="25"/>
      <c r="AT104" s="25"/>
      <c r="AU104" s="25"/>
      <c r="AV104" s="25"/>
      <c r="AW104" s="25"/>
    </row>
    <row r="105" spans="1:49" s="13" customFormat="1">
      <c r="A105" s="13">
        <v>94</v>
      </c>
      <c r="B105" s="13">
        <v>0</v>
      </c>
      <c r="C105" s="294" t="s">
        <v>646</v>
      </c>
      <c r="D105" s="294" t="s">
        <v>144</v>
      </c>
      <c r="E105" s="294" t="s">
        <v>119</v>
      </c>
      <c r="F105" s="294" t="s">
        <v>128</v>
      </c>
      <c r="G105" s="350">
        <v>1</v>
      </c>
      <c r="H105" s="351">
        <v>2</v>
      </c>
      <c r="I105">
        <v>1</v>
      </c>
      <c r="J105" s="13">
        <v>0</v>
      </c>
      <c r="K105" s="20">
        <v>6.8422568589689519</v>
      </c>
      <c r="L105" s="20">
        <v>7.0006802721088439</v>
      </c>
      <c r="M105" s="20">
        <v>6.7310199798739117</v>
      </c>
      <c r="N105" s="20">
        <v>5.8893030537514699</v>
      </c>
      <c r="O105" s="311">
        <v>8</v>
      </c>
      <c r="P105" s="20">
        <v>7.2661942148760339</v>
      </c>
      <c r="Q105" s="20">
        <v>7.8105676003036262</v>
      </c>
      <c r="R105" s="312">
        <v>21</v>
      </c>
      <c r="S105" s="20">
        <v>2.0438866545560468</v>
      </c>
      <c r="T105" s="20">
        <v>5.0506639781661171</v>
      </c>
      <c r="U105" s="20">
        <v>6.7857142857142865</v>
      </c>
      <c r="V105" s="20">
        <v>5.9523809523809508</v>
      </c>
      <c r="W105" s="312">
        <v>102</v>
      </c>
      <c r="X105" s="313">
        <v>131</v>
      </c>
      <c r="Y105" s="236">
        <f t="shared" si="3"/>
        <v>19.384544109183771</v>
      </c>
      <c r="Z105" s="25"/>
      <c r="AA105" s="25"/>
      <c r="AB105" s="25"/>
      <c r="AC105" s="25"/>
      <c r="AD105" s="25"/>
      <c r="AE105" s="25"/>
      <c r="AF105" s="25"/>
      <c r="AG105" s="25"/>
      <c r="AH105" s="25"/>
      <c r="AI105" s="25"/>
      <c r="AJ105" s="25"/>
      <c r="AK105" s="25"/>
      <c r="AL105" s="25"/>
      <c r="AM105" s="25"/>
      <c r="AN105" s="25"/>
      <c r="AO105" s="25"/>
      <c r="AP105" s="25"/>
      <c r="AQ105" s="25"/>
      <c r="AR105" s="25"/>
      <c r="AS105" s="25"/>
      <c r="AT105" s="25"/>
      <c r="AU105" s="25"/>
      <c r="AV105" s="25"/>
      <c r="AW105" s="25"/>
    </row>
    <row r="106" spans="1:49" s="13" customFormat="1">
      <c r="A106" s="13">
        <v>95</v>
      </c>
      <c r="B106" s="13">
        <v>0</v>
      </c>
      <c r="C106" s="294" t="s">
        <v>378</v>
      </c>
      <c r="D106" s="294" t="s">
        <v>377</v>
      </c>
      <c r="E106" s="294" t="s">
        <v>113</v>
      </c>
      <c r="F106" s="294" t="s">
        <v>114</v>
      </c>
      <c r="G106" s="350">
        <v>2</v>
      </c>
      <c r="H106" s="351">
        <v>2</v>
      </c>
      <c r="I106">
        <v>0</v>
      </c>
      <c r="J106" s="13">
        <v>0</v>
      </c>
      <c r="K106" s="305">
        <v>6.5634592876962214</v>
      </c>
      <c r="L106" s="305">
        <v>5.3642857142857139</v>
      </c>
      <c r="M106" s="305">
        <v>2.4141931932534595</v>
      </c>
      <c r="N106" s="305">
        <v>4.9523456890597286</v>
      </c>
      <c r="O106" s="311">
        <v>112</v>
      </c>
      <c r="P106" s="305">
        <v>8.3750165289256202</v>
      </c>
      <c r="Q106" s="305">
        <v>7.5616192313509467</v>
      </c>
      <c r="R106" s="312">
        <v>5</v>
      </c>
      <c r="S106" s="305">
        <v>2.7145116956072228</v>
      </c>
      <c r="T106" s="305">
        <v>4.4285714285714288</v>
      </c>
      <c r="U106" s="305">
        <v>6.4285714285714288</v>
      </c>
      <c r="V106" s="305">
        <v>5.7142857142857135</v>
      </c>
      <c r="W106" s="312">
        <v>108</v>
      </c>
      <c r="X106" s="313">
        <v>225</v>
      </c>
      <c r="Y106" s="236">
        <f t="shared" si="3"/>
        <v>17.206675269183677</v>
      </c>
      <c r="Z106" s="25"/>
      <c r="AA106" s="25"/>
      <c r="AB106" s="25"/>
      <c r="AC106" s="25"/>
      <c r="AD106" s="25"/>
      <c r="AE106" s="25"/>
      <c r="AF106" s="25"/>
      <c r="AG106" s="25"/>
      <c r="AH106" s="25"/>
      <c r="AI106" s="25"/>
      <c r="AJ106" s="25"/>
      <c r="AK106" s="25"/>
      <c r="AL106" s="25"/>
      <c r="AM106" s="25"/>
      <c r="AN106" s="25"/>
      <c r="AO106" s="25"/>
      <c r="AP106" s="25"/>
      <c r="AQ106" s="25"/>
      <c r="AR106" s="25"/>
      <c r="AS106" s="25"/>
      <c r="AT106" s="25"/>
      <c r="AU106" s="25"/>
      <c r="AV106" s="25"/>
      <c r="AW106" s="25"/>
    </row>
    <row r="107" spans="1:49" s="13" customFormat="1">
      <c r="A107" s="13">
        <v>96</v>
      </c>
      <c r="B107" s="13">
        <v>0</v>
      </c>
      <c r="C107" s="294" t="s">
        <v>432</v>
      </c>
      <c r="D107" s="294" t="s">
        <v>145</v>
      </c>
      <c r="E107" s="294" t="s">
        <v>119</v>
      </c>
      <c r="F107" s="294" t="s">
        <v>125</v>
      </c>
      <c r="G107" s="350">
        <v>3</v>
      </c>
      <c r="H107" s="351">
        <v>3</v>
      </c>
      <c r="I107">
        <v>0</v>
      </c>
      <c r="J107" s="13">
        <v>0</v>
      </c>
      <c r="K107" s="20">
        <v>6.6020685344460386</v>
      </c>
      <c r="L107" s="20">
        <v>5.6428571428571432</v>
      </c>
      <c r="M107" s="20">
        <v>2.1764860192487978</v>
      </c>
      <c r="N107" s="20">
        <v>5.7774700123697169</v>
      </c>
      <c r="O107" s="311">
        <v>93</v>
      </c>
      <c r="P107" s="20">
        <v>6.9644338842975202</v>
      </c>
      <c r="Q107" s="20">
        <v>6.042539105352529</v>
      </c>
      <c r="R107" s="312">
        <v>102</v>
      </c>
      <c r="S107" s="20">
        <v>2.8930822991958678</v>
      </c>
      <c r="T107" s="20">
        <v>6.1589677787282575</v>
      </c>
      <c r="U107" s="20">
        <v>7.8571428571428568</v>
      </c>
      <c r="V107" s="20">
        <v>9.0476190476190492</v>
      </c>
      <c r="W107" s="312">
        <v>35</v>
      </c>
      <c r="X107" s="313">
        <v>230</v>
      </c>
      <c r="Y107" s="236">
        <f t="shared" si="3"/>
        <v>17.581462528254463</v>
      </c>
      <c r="Z107" s="25"/>
      <c r="AA107" s="25"/>
      <c r="AB107" s="25"/>
      <c r="AC107" s="25"/>
      <c r="AD107" s="25"/>
      <c r="AE107" s="25"/>
      <c r="AF107" s="25"/>
      <c r="AG107" s="25"/>
      <c r="AH107" s="25"/>
      <c r="AI107" s="25"/>
      <c r="AJ107" s="25"/>
      <c r="AK107" s="25"/>
      <c r="AL107" s="25"/>
      <c r="AM107" s="25"/>
      <c r="AN107" s="25"/>
      <c r="AO107" s="25"/>
      <c r="AP107" s="25"/>
      <c r="AQ107" s="25"/>
      <c r="AR107" s="25"/>
      <c r="AS107" s="25"/>
      <c r="AT107" s="25"/>
      <c r="AU107" s="25"/>
      <c r="AV107" s="25"/>
      <c r="AW107" s="25"/>
    </row>
    <row r="108" spans="1:49" s="13" customFormat="1">
      <c r="A108" s="13">
        <v>97</v>
      </c>
      <c r="B108" s="13">
        <v>0</v>
      </c>
      <c r="C108" s="294" t="s">
        <v>664</v>
      </c>
      <c r="D108" s="294" t="s">
        <v>663</v>
      </c>
      <c r="E108" s="294" t="s">
        <v>113</v>
      </c>
      <c r="F108" s="294" t="s">
        <v>140</v>
      </c>
      <c r="G108" s="350">
        <v>3</v>
      </c>
      <c r="H108" s="351">
        <v>2</v>
      </c>
      <c r="I108">
        <v>0</v>
      </c>
      <c r="J108" s="13">
        <v>0</v>
      </c>
      <c r="K108" s="305">
        <v>6.851111682520612</v>
      </c>
      <c r="L108" s="305">
        <v>3.8761904761904753</v>
      </c>
      <c r="M108" s="305">
        <v>3.1591874736597658</v>
      </c>
      <c r="N108" s="305">
        <v>6.3980856017795151</v>
      </c>
      <c r="O108" s="311">
        <v>91</v>
      </c>
      <c r="P108" s="305">
        <v>7.6504049586776866</v>
      </c>
      <c r="Q108" s="305">
        <v>6.8148886857633535</v>
      </c>
      <c r="R108" s="312">
        <v>40</v>
      </c>
      <c r="S108" s="305">
        <v>3.5175294912416413</v>
      </c>
      <c r="T108" s="305">
        <v>5.4160250926718003</v>
      </c>
      <c r="U108" s="305">
        <v>6.7857142857142865</v>
      </c>
      <c r="V108" s="305">
        <v>7.2619047619047628</v>
      </c>
      <c r="W108" s="312">
        <v>66</v>
      </c>
      <c r="X108" s="313">
        <v>197</v>
      </c>
      <c r="Y108" s="236">
        <f t="shared" si="3"/>
        <v>17.631325902184066</v>
      </c>
      <c r="Z108" s="25"/>
      <c r="AA108" s="25"/>
      <c r="AB108" s="25"/>
      <c r="AC108" s="25"/>
      <c r="AD108" s="25"/>
      <c r="AE108" s="25"/>
      <c r="AF108" s="25"/>
      <c r="AG108" s="25"/>
      <c r="AH108" s="25"/>
      <c r="AI108" s="25"/>
      <c r="AJ108" s="25"/>
      <c r="AK108" s="25"/>
      <c r="AL108" s="25"/>
      <c r="AM108" s="25"/>
      <c r="AN108" s="25"/>
      <c r="AO108" s="25"/>
      <c r="AP108" s="25"/>
      <c r="AQ108" s="25"/>
      <c r="AR108" s="25"/>
      <c r="AS108" s="25"/>
      <c r="AT108" s="25"/>
      <c r="AU108" s="25"/>
      <c r="AV108" s="25"/>
      <c r="AW108" s="25"/>
    </row>
    <row r="109" spans="1:49" s="13" customFormat="1">
      <c r="A109" s="13">
        <v>98</v>
      </c>
      <c r="B109" s="13">
        <v>0</v>
      </c>
      <c r="C109" s="294" t="s">
        <v>309</v>
      </c>
      <c r="D109" s="294" t="s">
        <v>308</v>
      </c>
      <c r="E109" s="294" t="s">
        <v>107</v>
      </c>
      <c r="F109" s="294" t="s">
        <v>122</v>
      </c>
      <c r="G109" s="350">
        <v>4</v>
      </c>
      <c r="H109" s="351">
        <v>4</v>
      </c>
      <c r="I109">
        <v>0</v>
      </c>
      <c r="J109" s="13">
        <v>0</v>
      </c>
      <c r="K109" s="20">
        <v>6.9246844276626263</v>
      </c>
      <c r="L109" s="20">
        <v>4.1157142857142857</v>
      </c>
      <c r="M109" s="20">
        <v>1.44188376753507</v>
      </c>
      <c r="N109" s="20">
        <v>5.7084568252742223</v>
      </c>
      <c r="O109" s="311">
        <v>131</v>
      </c>
      <c r="P109" s="20">
        <v>6.4179628099173556</v>
      </c>
      <c r="Q109" s="20">
        <v>5.810039141289522</v>
      </c>
      <c r="R109" s="312">
        <v>127</v>
      </c>
      <c r="S109" s="20">
        <v>1.2246419129608295</v>
      </c>
      <c r="T109" s="20">
        <v>2.8212147134302823</v>
      </c>
      <c r="U109" s="20">
        <v>3.5714285714285716</v>
      </c>
      <c r="V109" s="20">
        <v>3.5714285714285716</v>
      </c>
      <c r="W109" s="312">
        <v>158</v>
      </c>
      <c r="X109" s="313">
        <v>416</v>
      </c>
      <c r="Y109" s="236">
        <f t="shared" si="3"/>
        <v>13.154902410148136</v>
      </c>
      <c r="Z109" s="25"/>
      <c r="AA109" s="25"/>
      <c r="AB109" s="25"/>
      <c r="AC109" s="25"/>
      <c r="AD109" s="25"/>
      <c r="AE109" s="25"/>
      <c r="AF109" s="25"/>
      <c r="AG109" s="25"/>
      <c r="AH109" s="25"/>
      <c r="AI109" s="25"/>
      <c r="AJ109" s="25"/>
      <c r="AK109" s="25"/>
      <c r="AL109" s="25"/>
      <c r="AM109" s="25"/>
      <c r="AN109" s="25"/>
      <c r="AO109" s="25"/>
      <c r="AP109" s="25"/>
      <c r="AQ109" s="25"/>
      <c r="AR109" s="25"/>
      <c r="AS109" s="25"/>
      <c r="AT109" s="25"/>
      <c r="AU109" s="25"/>
      <c r="AV109" s="25"/>
      <c r="AW109" s="25"/>
    </row>
    <row r="110" spans="1:49" s="13" customFormat="1">
      <c r="A110" s="13">
        <v>99</v>
      </c>
      <c r="B110" s="13">
        <v>0</v>
      </c>
      <c r="C110" s="294" t="s">
        <v>498</v>
      </c>
      <c r="D110" s="294" t="s">
        <v>146</v>
      </c>
      <c r="E110" s="294" t="s">
        <v>113</v>
      </c>
      <c r="F110" s="294" t="s">
        <v>134</v>
      </c>
      <c r="G110" s="350">
        <v>2</v>
      </c>
      <c r="H110" s="351">
        <v>2</v>
      </c>
      <c r="I110">
        <v>0</v>
      </c>
      <c r="J110" s="13">
        <v>0</v>
      </c>
      <c r="K110" s="305">
        <v>8.0000157863481576</v>
      </c>
      <c r="L110" s="305">
        <v>4.5033333333333339</v>
      </c>
      <c r="M110" s="305">
        <v>3.7069073769857308</v>
      </c>
      <c r="N110" s="305">
        <v>6.437534975862337</v>
      </c>
      <c r="O110" s="311">
        <v>52</v>
      </c>
      <c r="P110" s="305">
        <v>7.3618842975206604</v>
      </c>
      <c r="Q110" s="305">
        <v>5.3518404180542376</v>
      </c>
      <c r="R110" s="312">
        <v>119</v>
      </c>
      <c r="S110" s="305">
        <v>3.0007817433717854</v>
      </c>
      <c r="T110" s="305">
        <v>4.6882663244938696</v>
      </c>
      <c r="U110" s="305">
        <v>5.2380952380952381</v>
      </c>
      <c r="V110" s="305">
        <v>6.1904761904761898</v>
      </c>
      <c r="W110" s="312">
        <v>112</v>
      </c>
      <c r="X110" s="313">
        <v>283</v>
      </c>
      <c r="Y110" s="236">
        <f t="shared" si="3"/>
        <v>15.7931931602959</v>
      </c>
      <c r="Z110" s="25"/>
      <c r="AA110" s="25"/>
      <c r="AB110" s="25"/>
      <c r="AC110" s="25"/>
      <c r="AD110" s="25"/>
      <c r="AE110" s="25"/>
      <c r="AF110" s="25"/>
      <c r="AG110" s="25"/>
      <c r="AH110" s="25"/>
      <c r="AI110" s="25"/>
      <c r="AJ110" s="25"/>
      <c r="AK110" s="25"/>
      <c r="AL110" s="25"/>
      <c r="AM110" s="25"/>
      <c r="AN110" s="25"/>
      <c r="AO110" s="25"/>
      <c r="AP110" s="25"/>
      <c r="AQ110" s="25"/>
      <c r="AR110" s="25"/>
      <c r="AS110" s="25"/>
      <c r="AT110" s="25"/>
      <c r="AU110" s="25"/>
      <c r="AV110" s="25"/>
      <c r="AW110" s="25"/>
    </row>
    <row r="111" spans="1:49" s="13" customFormat="1">
      <c r="A111" s="13">
        <v>100</v>
      </c>
      <c r="B111" s="13">
        <v>0</v>
      </c>
      <c r="C111" s="294" t="s">
        <v>660</v>
      </c>
      <c r="D111" s="294" t="s">
        <v>147</v>
      </c>
      <c r="E111" s="294" t="s">
        <v>115</v>
      </c>
      <c r="F111" s="294" t="s">
        <v>118</v>
      </c>
      <c r="G111" s="350">
        <v>3</v>
      </c>
      <c r="H111" s="351">
        <v>3</v>
      </c>
      <c r="I111">
        <v>0</v>
      </c>
      <c r="J111" s="13">
        <v>0</v>
      </c>
      <c r="K111" s="20">
        <v>8.0561660517845777</v>
      </c>
      <c r="L111" s="20">
        <v>7.4785714285714278</v>
      </c>
      <c r="M111" s="20">
        <v>3.2171725425099122</v>
      </c>
      <c r="N111" s="20">
        <v>5.0635859685594244</v>
      </c>
      <c r="O111" s="311">
        <v>33</v>
      </c>
      <c r="P111" s="20">
        <v>7.4181342975206608</v>
      </c>
      <c r="Q111" s="20">
        <v>7.8835572113061589</v>
      </c>
      <c r="R111" s="312">
        <v>17</v>
      </c>
      <c r="S111" s="20">
        <v>4.8272992833457105</v>
      </c>
      <c r="T111" s="20">
        <v>5.3227117194183062</v>
      </c>
      <c r="U111" s="20">
        <v>4.5714285714285721</v>
      </c>
      <c r="V111" s="20">
        <v>5.7142857142857135</v>
      </c>
      <c r="W111" s="312">
        <v>98</v>
      </c>
      <c r="X111" s="313">
        <v>148</v>
      </c>
      <c r="Y111" s="236">
        <f t="shared" si="3"/>
        <v>18.94636253128207</v>
      </c>
      <c r="Z111" s="25"/>
      <c r="AA111" s="25"/>
      <c r="AB111" s="25"/>
      <c r="AC111" s="25"/>
      <c r="AD111" s="25"/>
      <c r="AE111" s="25"/>
      <c r="AF111" s="25"/>
      <c r="AG111" s="25"/>
      <c r="AH111" s="25"/>
      <c r="AI111" s="25"/>
      <c r="AJ111" s="25"/>
      <c r="AK111" s="25"/>
      <c r="AL111" s="25"/>
      <c r="AM111" s="25"/>
      <c r="AN111" s="25"/>
      <c r="AO111" s="25"/>
      <c r="AP111" s="25"/>
      <c r="AQ111" s="25"/>
      <c r="AR111" s="25"/>
      <c r="AS111" s="25"/>
      <c r="AT111" s="25"/>
      <c r="AU111" s="25"/>
      <c r="AV111" s="25"/>
      <c r="AW111" s="25"/>
    </row>
    <row r="112" spans="1:49" s="13" customFormat="1">
      <c r="A112" s="13">
        <v>102</v>
      </c>
      <c r="B112" s="13">
        <v>0</v>
      </c>
      <c r="C112" s="294" t="s">
        <v>440</v>
      </c>
      <c r="D112" s="294" t="s">
        <v>439</v>
      </c>
      <c r="E112" s="294" t="s">
        <v>106</v>
      </c>
      <c r="F112" s="294" t="s">
        <v>106</v>
      </c>
      <c r="G112" s="350">
        <v>3</v>
      </c>
      <c r="H112" s="351">
        <v>3</v>
      </c>
      <c r="I112">
        <v>0</v>
      </c>
      <c r="J112" s="13">
        <v>0</v>
      </c>
      <c r="K112" s="20">
        <v>8.2071848688694171</v>
      </c>
      <c r="L112" s="20">
        <v>4.9592857142857145</v>
      </c>
      <c r="M112" s="20">
        <v>3.3396062511288673</v>
      </c>
      <c r="N112" s="20">
        <v>4.9909850221093794</v>
      </c>
      <c r="O112" s="311">
        <v>70</v>
      </c>
      <c r="P112" s="20">
        <v>5.2987830578512396</v>
      </c>
      <c r="Q112" s="20">
        <v>6.6067525990357678</v>
      </c>
      <c r="R112" s="312">
        <v>132</v>
      </c>
      <c r="S112" s="20">
        <v>4.2670050891395643</v>
      </c>
      <c r="T112" s="20">
        <v>6.3634516680923872</v>
      </c>
      <c r="U112" s="20">
        <v>8.0357142857142865</v>
      </c>
      <c r="V112" s="20">
        <v>8.75</v>
      </c>
      <c r="W112" s="312">
        <v>18</v>
      </c>
      <c r="X112" s="313">
        <v>220</v>
      </c>
      <c r="Y112" s="236">
        <f t="shared" si="3"/>
        <v>18.83506082387067</v>
      </c>
      <c r="Z112" s="25"/>
      <c r="AA112" s="25"/>
      <c r="AB112" s="25"/>
      <c r="AC112" s="25"/>
      <c r="AD112" s="25"/>
      <c r="AE112" s="25"/>
      <c r="AF112" s="25"/>
      <c r="AG112" s="25"/>
      <c r="AH112" s="25"/>
      <c r="AI112" s="25"/>
      <c r="AJ112" s="25"/>
      <c r="AK112" s="25"/>
      <c r="AL112" s="25"/>
      <c r="AM112" s="25"/>
      <c r="AN112" s="25"/>
      <c r="AO112" s="25"/>
      <c r="AP112" s="25"/>
      <c r="AQ112" s="25"/>
      <c r="AR112" s="25"/>
      <c r="AS112" s="25"/>
      <c r="AT112" s="25"/>
      <c r="AU112" s="25"/>
      <c r="AV112" s="25"/>
      <c r="AW112" s="25"/>
    </row>
    <row r="113" spans="1:49" s="13" customFormat="1">
      <c r="A113" s="13">
        <v>103</v>
      </c>
      <c r="B113" s="13">
        <v>0</v>
      </c>
      <c r="C113" s="294" t="s">
        <v>494</v>
      </c>
      <c r="D113" s="294" t="s">
        <v>493</v>
      </c>
      <c r="E113" s="294" t="s">
        <v>107</v>
      </c>
      <c r="F113" s="294" t="s">
        <v>108</v>
      </c>
      <c r="G113" s="350">
        <v>4</v>
      </c>
      <c r="H113" s="351">
        <v>3</v>
      </c>
      <c r="I113">
        <v>0</v>
      </c>
      <c r="J113" s="13">
        <v>0</v>
      </c>
      <c r="K113" s="20">
        <v>7.7598076197394761</v>
      </c>
      <c r="L113" s="20">
        <v>4.4571428571428573</v>
      </c>
      <c r="M113" s="20">
        <v>2.25858112799758</v>
      </c>
      <c r="N113" s="20">
        <v>5.3102477479820251</v>
      </c>
      <c r="O113" s="311">
        <v>102</v>
      </c>
      <c r="P113" s="20">
        <v>8.4065165289256196</v>
      </c>
      <c r="Q113" s="20">
        <v>5.9692137765211148</v>
      </c>
      <c r="R113" s="312">
        <v>45</v>
      </c>
      <c r="S113" s="20">
        <v>2.3421609336262659</v>
      </c>
      <c r="T113" s="20">
        <v>2.6518391787852864</v>
      </c>
      <c r="U113" s="20">
        <v>6.0714285714285712</v>
      </c>
      <c r="V113" s="20">
        <v>7.1428571428571432</v>
      </c>
      <c r="W113" s="312">
        <v>123</v>
      </c>
      <c r="X113" s="313">
        <v>270</v>
      </c>
      <c r="Y113" s="236">
        <f t="shared" si="3"/>
        <v>15.467730071410916</v>
      </c>
      <c r="Z113" s="25"/>
      <c r="AA113" s="25"/>
      <c r="AB113" s="25"/>
      <c r="AC113" s="25"/>
      <c r="AD113" s="25"/>
      <c r="AE113" s="25"/>
      <c r="AF113" s="25"/>
      <c r="AG113" s="25"/>
      <c r="AH113" s="25"/>
      <c r="AI113" s="25"/>
      <c r="AJ113" s="25"/>
      <c r="AK113" s="25"/>
      <c r="AL113" s="25"/>
      <c r="AM113" s="25"/>
      <c r="AN113" s="25"/>
      <c r="AO113" s="25"/>
      <c r="AP113" s="25"/>
      <c r="AQ113" s="25"/>
      <c r="AR113" s="25"/>
      <c r="AS113" s="25"/>
      <c r="AT113" s="25"/>
      <c r="AU113" s="25"/>
      <c r="AV113" s="25"/>
      <c r="AW113" s="25"/>
    </row>
    <row r="114" spans="1:49" s="13" customFormat="1">
      <c r="A114" s="13">
        <v>104</v>
      </c>
      <c r="B114" s="13">
        <v>0</v>
      </c>
      <c r="C114" s="294" t="s">
        <v>590</v>
      </c>
      <c r="D114" s="294" t="s">
        <v>589</v>
      </c>
      <c r="E114" s="294" t="s">
        <v>111</v>
      </c>
      <c r="F114" s="294" t="s">
        <v>110</v>
      </c>
      <c r="G114" s="350">
        <v>2</v>
      </c>
      <c r="H114" s="351">
        <v>2</v>
      </c>
      <c r="I114">
        <v>0</v>
      </c>
      <c r="J114" s="13">
        <v>0</v>
      </c>
      <c r="K114" s="20">
        <v>8.7568451452567704</v>
      </c>
      <c r="L114" s="20">
        <v>7.0619047619047617</v>
      </c>
      <c r="M114" s="20">
        <v>5.3709711268029618</v>
      </c>
      <c r="N114" s="20">
        <v>6.0752696726885063</v>
      </c>
      <c r="O114" s="311">
        <v>2</v>
      </c>
      <c r="P114" s="20">
        <v>7.6976549586776866</v>
      </c>
      <c r="Q114" s="20">
        <v>7.9974740289159021</v>
      </c>
      <c r="R114" s="312">
        <v>7</v>
      </c>
      <c r="S114" s="20">
        <v>3.1941305546252692</v>
      </c>
      <c r="T114" s="20">
        <v>5.2437268320501857</v>
      </c>
      <c r="U114" s="20">
        <v>7.1428571428571432</v>
      </c>
      <c r="V114" s="20">
        <v>6.6666666666666679</v>
      </c>
      <c r="W114" s="312">
        <v>75</v>
      </c>
      <c r="X114" s="313">
        <v>84</v>
      </c>
      <c r="Y114" s="236">
        <f t="shared" si="3"/>
        <v>20.375567004628969</v>
      </c>
      <c r="Z114" s="25"/>
      <c r="AA114" s="25"/>
      <c r="AB114" s="25"/>
      <c r="AC114" s="25"/>
      <c r="AD114" s="25"/>
      <c r="AE114" s="25"/>
      <c r="AF114" s="25"/>
      <c r="AG114" s="25"/>
      <c r="AH114" s="25"/>
      <c r="AI114" s="25"/>
      <c r="AJ114" s="25"/>
      <c r="AK114" s="25"/>
      <c r="AL114" s="25"/>
      <c r="AM114" s="25"/>
      <c r="AN114" s="25"/>
      <c r="AO114" s="25"/>
      <c r="AP114" s="25"/>
      <c r="AQ114" s="25"/>
      <c r="AR114" s="25"/>
      <c r="AS114" s="25"/>
      <c r="AT114" s="25"/>
      <c r="AU114" s="25"/>
      <c r="AV114" s="25"/>
      <c r="AW114" s="25"/>
    </row>
    <row r="115" spans="1:49" s="13" customFormat="1">
      <c r="A115" s="13">
        <v>106</v>
      </c>
      <c r="B115" s="13">
        <v>0</v>
      </c>
      <c r="C115" s="294" t="s">
        <v>592</v>
      </c>
      <c r="D115" s="294" t="s">
        <v>591</v>
      </c>
      <c r="E115" s="294" t="s">
        <v>111</v>
      </c>
      <c r="F115" s="294" t="s">
        <v>110</v>
      </c>
      <c r="G115" s="350">
        <v>2</v>
      </c>
      <c r="H115" s="351">
        <v>2</v>
      </c>
      <c r="I115">
        <v>0</v>
      </c>
      <c r="J115" s="13">
        <v>0</v>
      </c>
      <c r="K115" s="305">
        <v>8.6727376455275955</v>
      </c>
      <c r="L115" s="305">
        <v>7.0238095238095237</v>
      </c>
      <c r="M115" s="305">
        <v>4.835944528542063</v>
      </c>
      <c r="N115" s="305">
        <v>6.5029579069111776</v>
      </c>
      <c r="O115" s="311">
        <v>4</v>
      </c>
      <c r="P115" s="305">
        <v>7.542144628099174</v>
      </c>
      <c r="Q115" s="305">
        <v>7.6623082641987645</v>
      </c>
      <c r="R115" s="312">
        <v>18</v>
      </c>
      <c r="S115" s="305">
        <v>3.1189865175169147</v>
      </c>
      <c r="T115" s="305">
        <v>5.7333190761334478</v>
      </c>
      <c r="U115" s="305">
        <v>7.6190476190476186</v>
      </c>
      <c r="V115" s="305">
        <v>7.6190476190476186</v>
      </c>
      <c r="W115" s="312">
        <v>50</v>
      </c>
      <c r="X115" s="313">
        <v>72</v>
      </c>
      <c r="Y115" s="236">
        <f t="shared" si="3"/>
        <v>20.443770873332753</v>
      </c>
      <c r="Z115" s="25"/>
      <c r="AA115" s="25"/>
      <c r="AB115" s="25"/>
      <c r="AC115" s="25"/>
      <c r="AD115" s="25"/>
      <c r="AE115" s="25"/>
      <c r="AF115" s="25"/>
      <c r="AG115" s="25"/>
      <c r="AH115" s="25"/>
      <c r="AI115" s="25"/>
      <c r="AJ115" s="25"/>
      <c r="AK115" s="25"/>
      <c r="AL115" s="25"/>
      <c r="AM115" s="25"/>
      <c r="AN115" s="25"/>
      <c r="AO115" s="25"/>
      <c r="AP115" s="25"/>
      <c r="AQ115" s="25"/>
      <c r="AR115" s="25"/>
      <c r="AS115" s="25"/>
      <c r="AT115" s="25"/>
      <c r="AU115" s="25"/>
      <c r="AV115" s="25"/>
      <c r="AW115" s="25"/>
    </row>
    <row r="116" spans="1:49" s="13" customFormat="1">
      <c r="A116" s="13">
        <v>107</v>
      </c>
      <c r="B116" s="13">
        <v>0</v>
      </c>
      <c r="C116" s="294" t="s">
        <v>650</v>
      </c>
      <c r="D116" s="294" t="s">
        <v>649</v>
      </c>
      <c r="E116" s="294" t="s">
        <v>113</v>
      </c>
      <c r="F116" s="294" t="s">
        <v>134</v>
      </c>
      <c r="G116" s="350">
        <v>3</v>
      </c>
      <c r="H116" s="351">
        <v>3</v>
      </c>
      <c r="I116">
        <v>0</v>
      </c>
      <c r="J116" s="13">
        <v>0</v>
      </c>
      <c r="K116" s="305">
        <v>7.3108606203424582</v>
      </c>
      <c r="L116" s="305">
        <v>6.3214285714285721</v>
      </c>
      <c r="M116" s="305">
        <v>1.9744704000275228</v>
      </c>
      <c r="N116" s="305">
        <v>6.1460237196483343</v>
      </c>
      <c r="O116" s="311">
        <v>64</v>
      </c>
      <c r="P116" s="305">
        <v>7.3395144628099169</v>
      </c>
      <c r="Q116" s="305">
        <v>6.7729628967625537</v>
      </c>
      <c r="R116" s="312">
        <v>60</v>
      </c>
      <c r="S116" s="305">
        <v>4.0081031120212431</v>
      </c>
      <c r="T116" s="305">
        <v>6.0846877673224977</v>
      </c>
      <c r="U116" s="305">
        <v>7.8571428571428568</v>
      </c>
      <c r="V116" s="305">
        <v>9.4285714285714288</v>
      </c>
      <c r="W116" s="312">
        <v>19</v>
      </c>
      <c r="X116" s="313">
        <v>143</v>
      </c>
      <c r="Y116" s="236">
        <f t="shared" si="3"/>
        <v>19.055785015888784</v>
      </c>
      <c r="Z116" s="25"/>
      <c r="AA116" s="25"/>
      <c r="AB116" s="25"/>
      <c r="AC116" s="25"/>
      <c r="AD116" s="25"/>
      <c r="AE116" s="25"/>
      <c r="AF116" s="25"/>
      <c r="AG116" s="25"/>
      <c r="AH116" s="25"/>
      <c r="AI116" s="25"/>
      <c r="AJ116" s="25"/>
      <c r="AK116" s="25"/>
      <c r="AL116" s="25"/>
      <c r="AM116" s="25"/>
      <c r="AN116" s="25"/>
      <c r="AO116" s="25"/>
      <c r="AP116" s="25"/>
      <c r="AQ116" s="25"/>
      <c r="AR116" s="25"/>
      <c r="AS116" s="25"/>
      <c r="AT116" s="25"/>
      <c r="AU116" s="25"/>
      <c r="AV116" s="25"/>
      <c r="AW116" s="25"/>
    </row>
    <row r="117" spans="1:49" s="13" customFormat="1">
      <c r="A117" s="13">
        <v>109</v>
      </c>
      <c r="B117" s="13">
        <v>0</v>
      </c>
      <c r="C117" s="294" t="s">
        <v>458</v>
      </c>
      <c r="D117" s="294" t="s">
        <v>457</v>
      </c>
      <c r="E117" s="294" t="s">
        <v>109</v>
      </c>
      <c r="F117" s="294" t="s">
        <v>117</v>
      </c>
      <c r="G117" s="350">
        <v>3</v>
      </c>
      <c r="H117" s="351">
        <v>3</v>
      </c>
      <c r="I117">
        <v>0</v>
      </c>
      <c r="J117" s="13">
        <v>0</v>
      </c>
      <c r="K117" s="305">
        <v>7.8852751936671437</v>
      </c>
      <c r="L117" s="305">
        <v>4.3071428571428569</v>
      </c>
      <c r="M117" s="305">
        <v>3.8739859117376385</v>
      </c>
      <c r="N117" s="305">
        <v>5.1723612049935639</v>
      </c>
      <c r="O117" s="311">
        <v>73</v>
      </c>
      <c r="P117" s="305">
        <v>7.4565144628099169</v>
      </c>
      <c r="Q117" s="305">
        <v>6.4913466655341772</v>
      </c>
      <c r="R117" s="312">
        <v>65</v>
      </c>
      <c r="S117" s="305">
        <v>2.6519394263704417</v>
      </c>
      <c r="T117" s="305">
        <v>3.4948674080410607</v>
      </c>
      <c r="U117" s="305">
        <v>5.7142857142857135</v>
      </c>
      <c r="V117" s="305">
        <v>5.7142857142857135</v>
      </c>
      <c r="W117" s="312">
        <v>132</v>
      </c>
      <c r="X117" s="313">
        <v>270</v>
      </c>
      <c r="Y117" s="236">
        <f t="shared" si="3"/>
        <v>16.194882523165212</v>
      </c>
      <c r="Z117" s="25"/>
      <c r="AA117" s="25"/>
      <c r="AB117" s="25"/>
      <c r="AC117" s="25"/>
      <c r="AD117" s="25"/>
      <c r="AE117" s="25"/>
      <c r="AF117" s="25"/>
      <c r="AG117" s="25"/>
      <c r="AH117" s="25"/>
      <c r="AI117" s="25"/>
      <c r="AJ117" s="25"/>
      <c r="AK117" s="25"/>
      <c r="AL117" s="25"/>
      <c r="AM117" s="25"/>
      <c r="AN117" s="25"/>
      <c r="AO117" s="25"/>
      <c r="AP117" s="25"/>
      <c r="AQ117" s="25"/>
      <c r="AR117" s="25"/>
      <c r="AS117" s="25"/>
      <c r="AT117" s="25"/>
      <c r="AU117" s="25"/>
      <c r="AV117" s="25"/>
      <c r="AW117" s="25"/>
    </row>
    <row r="118" spans="1:49" s="13" customFormat="1">
      <c r="A118" s="13">
        <v>110</v>
      </c>
      <c r="B118" s="13">
        <v>0</v>
      </c>
      <c r="C118" s="294" t="s">
        <v>410</v>
      </c>
      <c r="D118" s="294" t="s">
        <v>409</v>
      </c>
      <c r="E118" s="294" t="s">
        <v>107</v>
      </c>
      <c r="F118" s="294" t="s">
        <v>133</v>
      </c>
      <c r="G118" s="350">
        <v>4</v>
      </c>
      <c r="H118" s="351">
        <v>3</v>
      </c>
      <c r="I118">
        <v>0</v>
      </c>
      <c r="J118" s="13">
        <v>0</v>
      </c>
      <c r="K118" s="20">
        <v>7.4453891822578395</v>
      </c>
      <c r="L118" s="20">
        <v>6.2238095238095239</v>
      </c>
      <c r="M118" s="20">
        <v>1.6255343304635019</v>
      </c>
      <c r="N118" s="20">
        <v>5.8013859876637097</v>
      </c>
      <c r="O118" s="311">
        <v>77</v>
      </c>
      <c r="P118" s="20">
        <v>5.8148140495867766</v>
      </c>
      <c r="Q118" s="20">
        <v>7.2222352638283294</v>
      </c>
      <c r="R118" s="312">
        <v>98</v>
      </c>
      <c r="S118" s="20">
        <v>3.3326566792481422</v>
      </c>
      <c r="T118" s="20">
        <v>5.2857618097139056</v>
      </c>
      <c r="U118" s="20">
        <v>8.412698412698413</v>
      </c>
      <c r="V118" s="20">
        <v>9.0476190476190474</v>
      </c>
      <c r="W118" s="312">
        <v>31</v>
      </c>
      <c r="X118" s="313">
        <v>206</v>
      </c>
      <c r="Y118" s="236">
        <f t="shared" si="3"/>
        <v>19.015949007196852</v>
      </c>
      <c r="Z118" s="25"/>
      <c r="AA118" s="25"/>
      <c r="AB118" s="25"/>
      <c r="AC118" s="25"/>
      <c r="AD118" s="25"/>
      <c r="AE118" s="25"/>
      <c r="AF118" s="25"/>
      <c r="AG118" s="25"/>
      <c r="AH118" s="25"/>
      <c r="AI118" s="25"/>
      <c r="AJ118" s="25"/>
      <c r="AK118" s="25"/>
      <c r="AL118" s="25"/>
      <c r="AM118" s="25"/>
      <c r="AN118" s="25"/>
      <c r="AO118" s="25"/>
      <c r="AP118" s="25"/>
      <c r="AQ118" s="25"/>
      <c r="AR118" s="25"/>
      <c r="AS118" s="25"/>
      <c r="AT118" s="25"/>
      <c r="AU118" s="25"/>
      <c r="AV118" s="25"/>
      <c r="AW118" s="25"/>
    </row>
    <row r="119" spans="1:49" s="13" customFormat="1">
      <c r="A119" s="13">
        <v>111</v>
      </c>
      <c r="B119" s="13">
        <v>0</v>
      </c>
      <c r="C119" s="294" t="s">
        <v>506</v>
      </c>
      <c r="D119" s="294" t="s">
        <v>505</v>
      </c>
      <c r="E119" s="294" t="s">
        <v>106</v>
      </c>
      <c r="F119" s="294" t="s">
        <v>106</v>
      </c>
      <c r="G119" s="350">
        <v>3</v>
      </c>
      <c r="H119" s="351">
        <v>3</v>
      </c>
      <c r="I119">
        <v>0</v>
      </c>
      <c r="J119" s="13">
        <v>0</v>
      </c>
      <c r="K119" s="305">
        <v>7.0846242258540908</v>
      </c>
      <c r="L119" s="305">
        <v>5.3285714285714283</v>
      </c>
      <c r="M119" s="305">
        <v>2.8498714166530483</v>
      </c>
      <c r="N119" s="305">
        <v>4.6333853563053227</v>
      </c>
      <c r="O119" s="311">
        <v>101</v>
      </c>
      <c r="P119" s="305">
        <v>1</v>
      </c>
      <c r="Q119" s="305">
        <v>6.1284780010982773</v>
      </c>
      <c r="R119" s="312">
        <v>162</v>
      </c>
      <c r="S119" s="305">
        <v>3.6349264576767903</v>
      </c>
      <c r="T119" s="305">
        <v>5.470487596236099</v>
      </c>
      <c r="U119" s="305">
        <v>7.8571428571428568</v>
      </c>
      <c r="V119" s="305">
        <v>7.8571428571428568</v>
      </c>
      <c r="W119" s="312">
        <v>45</v>
      </c>
      <c r="X119" s="313">
        <v>308</v>
      </c>
      <c r="Y119" s="236">
        <f t="shared" si="3"/>
        <v>17.3075160499939</v>
      </c>
      <c r="Z119" s="25"/>
      <c r="AA119" s="25"/>
      <c r="AB119" s="25"/>
      <c r="AC119" s="25"/>
      <c r="AD119" s="25"/>
      <c r="AE119" s="25"/>
      <c r="AF119" s="25"/>
      <c r="AG119" s="25"/>
      <c r="AH119" s="25"/>
      <c r="AI119" s="25"/>
      <c r="AJ119" s="25"/>
      <c r="AK119" s="25"/>
      <c r="AL119" s="25"/>
      <c r="AM119" s="25"/>
      <c r="AN119" s="25"/>
      <c r="AO119" s="25"/>
      <c r="AP119" s="25"/>
      <c r="AQ119" s="25"/>
      <c r="AR119" s="25"/>
      <c r="AS119" s="25"/>
      <c r="AT119" s="25"/>
      <c r="AU119" s="25"/>
      <c r="AV119" s="25"/>
      <c r="AW119" s="25"/>
    </row>
    <row r="120" spans="1:49" s="13" customFormat="1">
      <c r="A120" s="13">
        <v>112</v>
      </c>
      <c r="B120" s="13">
        <v>0</v>
      </c>
      <c r="C120" s="294" t="s">
        <v>654</v>
      </c>
      <c r="D120" s="294" t="s">
        <v>653</v>
      </c>
      <c r="E120" s="294" t="s">
        <v>115</v>
      </c>
      <c r="F120" s="294" t="s">
        <v>124</v>
      </c>
      <c r="G120" s="350">
        <v>2</v>
      </c>
      <c r="H120" s="351">
        <v>2</v>
      </c>
      <c r="I120">
        <v>0</v>
      </c>
      <c r="J120" s="13">
        <v>0</v>
      </c>
      <c r="K120" s="305">
        <v>8.5533486705609061</v>
      </c>
      <c r="L120" s="305">
        <v>5.8131578947368414</v>
      </c>
      <c r="M120" s="305">
        <v>2.4213534364867071</v>
      </c>
      <c r="N120" s="305">
        <v>6.9797888797530856</v>
      </c>
      <c r="O120" s="311">
        <v>34</v>
      </c>
      <c r="P120" s="305">
        <v>5.2218739669421481</v>
      </c>
      <c r="Q120" s="305">
        <v>7.5826919324075535</v>
      </c>
      <c r="R120" s="312">
        <v>113</v>
      </c>
      <c r="S120" s="305">
        <v>4.6800847089392574</v>
      </c>
      <c r="T120" s="305">
        <v>6.9650173337535461</v>
      </c>
      <c r="U120" s="305">
        <v>4.7744360902255636</v>
      </c>
      <c r="V120" s="305">
        <v>7.913533834586465</v>
      </c>
      <c r="W120" s="312">
        <v>48</v>
      </c>
      <c r="X120" s="313">
        <v>195</v>
      </c>
      <c r="Y120" s="236">
        <f t="shared" si="3"/>
        <v>19.607872144668146</v>
      </c>
      <c r="Z120" s="25"/>
      <c r="AA120" s="25"/>
      <c r="AB120" s="25"/>
      <c r="AC120" s="25"/>
      <c r="AD120" s="25"/>
      <c r="AE120" s="25"/>
      <c r="AF120" s="25"/>
      <c r="AG120" s="25"/>
      <c r="AH120" s="25"/>
      <c r="AI120" s="25"/>
      <c r="AJ120" s="25"/>
      <c r="AK120" s="25"/>
      <c r="AL120" s="25"/>
      <c r="AM120" s="25"/>
      <c r="AN120" s="25"/>
      <c r="AO120" s="25"/>
      <c r="AP120" s="25"/>
      <c r="AQ120" s="25"/>
      <c r="AR120" s="25"/>
      <c r="AS120" s="25"/>
      <c r="AT120" s="25"/>
      <c r="AU120" s="25"/>
      <c r="AV120" s="25"/>
      <c r="AW120" s="25"/>
    </row>
    <row r="121" spans="1:49" s="13" customFormat="1">
      <c r="A121" s="13">
        <v>114</v>
      </c>
      <c r="B121" s="13">
        <v>0</v>
      </c>
      <c r="C121" s="294" t="s">
        <v>392</v>
      </c>
      <c r="D121" s="294" t="s">
        <v>148</v>
      </c>
      <c r="E121" s="294" t="s">
        <v>109</v>
      </c>
      <c r="F121" s="294" t="s">
        <v>110</v>
      </c>
      <c r="G121" s="350">
        <v>2</v>
      </c>
      <c r="H121" s="351">
        <v>2</v>
      </c>
      <c r="I121">
        <v>0</v>
      </c>
      <c r="J121" s="13">
        <v>0</v>
      </c>
      <c r="K121" s="20">
        <v>4.2545428340568545</v>
      </c>
      <c r="L121" s="20">
        <v>1.8</v>
      </c>
      <c r="M121" s="20">
        <v>3.630127056688484</v>
      </c>
      <c r="N121" s="20">
        <v>4.3475587919329577</v>
      </c>
      <c r="O121" s="298">
        <v>165</v>
      </c>
      <c r="P121" s="20">
        <v>7.3663842975206606</v>
      </c>
      <c r="Q121" s="20">
        <v>7.1266764279299721</v>
      </c>
      <c r="R121" s="312">
        <v>39</v>
      </c>
      <c r="S121" s="20">
        <v>3.224850948209085</v>
      </c>
      <c r="T121" s="20">
        <v>1</v>
      </c>
      <c r="U121" s="20">
        <v>1</v>
      </c>
      <c r="V121" s="20">
        <v>1</v>
      </c>
      <c r="W121" s="312">
        <v>163</v>
      </c>
      <c r="X121" s="313">
        <v>367</v>
      </c>
      <c r="Y121" s="236">
        <f t="shared" si="3"/>
        <v>12.190946335651816</v>
      </c>
      <c r="Z121" s="25"/>
      <c r="AA121" s="25"/>
      <c r="AB121" s="25"/>
      <c r="AC121" s="25"/>
      <c r="AD121" s="25"/>
      <c r="AE121" s="25"/>
      <c r="AF121" s="25"/>
      <c r="AG121" s="25"/>
      <c r="AH121" s="25"/>
      <c r="AI121" s="25"/>
      <c r="AJ121" s="25"/>
      <c r="AK121" s="25"/>
      <c r="AL121" s="25"/>
      <c r="AM121" s="25"/>
      <c r="AN121" s="25"/>
      <c r="AO121" s="25"/>
      <c r="AP121" s="25"/>
      <c r="AQ121" s="25"/>
      <c r="AR121" s="25"/>
      <c r="AS121" s="25"/>
      <c r="AT121" s="25"/>
      <c r="AU121" s="25"/>
      <c r="AV121" s="25"/>
      <c r="AW121" s="25"/>
    </row>
    <row r="122" spans="1:49" s="13" customFormat="1">
      <c r="A122" s="13">
        <v>115</v>
      </c>
      <c r="B122" s="13">
        <v>0</v>
      </c>
      <c r="C122" s="294" t="s">
        <v>496</v>
      </c>
      <c r="D122" s="294" t="s">
        <v>495</v>
      </c>
      <c r="E122" s="294" t="s">
        <v>107</v>
      </c>
      <c r="F122" s="294" t="s">
        <v>122</v>
      </c>
      <c r="G122" s="350">
        <v>4</v>
      </c>
      <c r="H122" s="351">
        <v>3</v>
      </c>
      <c r="I122">
        <v>0</v>
      </c>
      <c r="J122" s="13">
        <v>0</v>
      </c>
      <c r="K122" s="305">
        <v>6.3520850996633538</v>
      </c>
      <c r="L122" s="305">
        <v>4.656428571428572</v>
      </c>
      <c r="M122" s="305">
        <v>1.5949259033087635</v>
      </c>
      <c r="N122" s="305">
        <v>5.7462032571811257</v>
      </c>
      <c r="O122" s="311">
        <v>129</v>
      </c>
      <c r="P122" s="305">
        <v>7.3528842975206619</v>
      </c>
      <c r="Q122" s="305">
        <v>6.5655311274703818</v>
      </c>
      <c r="R122" s="312">
        <v>67</v>
      </c>
      <c r="S122" s="305">
        <v>2.7709124676657879</v>
      </c>
      <c r="T122" s="305">
        <v>5.5076988879384086</v>
      </c>
      <c r="U122" s="305">
        <v>5.7142857142857135</v>
      </c>
      <c r="V122" s="305">
        <v>7.5</v>
      </c>
      <c r="W122" s="312">
        <v>83</v>
      </c>
      <c r="X122" s="313">
        <v>279</v>
      </c>
      <c r="Y122" s="236">
        <f t="shared" si="3"/>
        <v>16.526166102838314</v>
      </c>
      <c r="Z122" s="25"/>
      <c r="AA122" s="25"/>
      <c r="AB122" s="25"/>
      <c r="AC122" s="25"/>
      <c r="AD122" s="25"/>
      <c r="AE122" s="25"/>
      <c r="AF122" s="25"/>
      <c r="AG122" s="25"/>
      <c r="AH122" s="25"/>
      <c r="AI122" s="25"/>
      <c r="AJ122" s="25"/>
      <c r="AK122" s="25"/>
      <c r="AL122" s="25"/>
      <c r="AM122" s="25"/>
      <c r="AN122" s="25"/>
      <c r="AO122" s="25"/>
      <c r="AP122" s="25"/>
      <c r="AQ122" s="25"/>
      <c r="AR122" s="25"/>
      <c r="AS122" s="25"/>
      <c r="AT122" s="25"/>
      <c r="AU122" s="25"/>
      <c r="AV122" s="25"/>
      <c r="AW122" s="25"/>
    </row>
    <row r="123" spans="1:49" s="13" customFormat="1">
      <c r="A123" s="13">
        <v>117</v>
      </c>
      <c r="B123" s="13">
        <v>0</v>
      </c>
      <c r="C123" s="294" t="s">
        <v>500</v>
      </c>
      <c r="D123" s="294" t="s">
        <v>499</v>
      </c>
      <c r="E123" s="294" t="s">
        <v>119</v>
      </c>
      <c r="F123" s="294" t="s">
        <v>125</v>
      </c>
      <c r="G123" s="350">
        <v>4</v>
      </c>
      <c r="H123" s="351">
        <v>3</v>
      </c>
      <c r="I123">
        <v>0</v>
      </c>
      <c r="J123" s="13">
        <v>0</v>
      </c>
      <c r="K123" s="20">
        <v>6.5427626083329482</v>
      </c>
      <c r="L123" s="20">
        <v>4.8761904761904766</v>
      </c>
      <c r="M123" s="20">
        <v>1.8091848933919343</v>
      </c>
      <c r="N123" s="20">
        <v>6.0326878706602454</v>
      </c>
      <c r="O123" s="311">
        <v>113</v>
      </c>
      <c r="P123" s="20">
        <v>6.4204731404958677</v>
      </c>
      <c r="Q123" s="20">
        <v>4.7685882595285038</v>
      </c>
      <c r="R123" s="312">
        <v>140</v>
      </c>
      <c r="S123" s="20">
        <v>3.1326901707077437</v>
      </c>
      <c r="T123" s="20">
        <v>5.6829911605360701</v>
      </c>
      <c r="U123" s="20">
        <v>7.2619047619047619</v>
      </c>
      <c r="V123" s="20">
        <v>8.9285714285714288</v>
      </c>
      <c r="W123" s="312">
        <v>42</v>
      </c>
      <c r="X123" s="313">
        <v>295</v>
      </c>
      <c r="Y123" s="236">
        <f t="shared" si="3"/>
        <v>15.835334102102408</v>
      </c>
      <c r="Z123" s="25"/>
      <c r="AA123" s="25"/>
      <c r="AB123" s="25"/>
      <c r="AC123" s="25"/>
      <c r="AD123" s="25"/>
      <c r="AE123" s="25"/>
      <c r="AF123" s="25"/>
      <c r="AG123" s="25"/>
      <c r="AH123" s="25"/>
      <c r="AI123" s="25"/>
      <c r="AJ123" s="25"/>
      <c r="AK123" s="25"/>
      <c r="AL123" s="25"/>
      <c r="AM123" s="25"/>
      <c r="AN123" s="25"/>
      <c r="AO123" s="25"/>
      <c r="AP123" s="25"/>
      <c r="AQ123" s="25"/>
      <c r="AR123" s="25"/>
      <c r="AS123" s="25"/>
      <c r="AT123" s="25"/>
      <c r="AU123" s="25"/>
      <c r="AV123" s="25"/>
      <c r="AW123" s="25"/>
    </row>
    <row r="124" spans="1:49" s="13" customFormat="1">
      <c r="A124" s="13">
        <v>118</v>
      </c>
      <c r="B124" s="13">
        <v>0</v>
      </c>
      <c r="C124" s="234" t="s">
        <v>464</v>
      </c>
      <c r="D124" s="294" t="s">
        <v>463</v>
      </c>
      <c r="E124" s="294" t="s">
        <v>109</v>
      </c>
      <c r="F124" s="294" t="s">
        <v>110</v>
      </c>
      <c r="G124" s="350">
        <v>2</v>
      </c>
      <c r="H124" s="352">
        <v>2</v>
      </c>
      <c r="I124">
        <v>0</v>
      </c>
      <c r="J124" s="13">
        <v>0</v>
      </c>
      <c r="K124" s="305">
        <v>5</v>
      </c>
      <c r="L124" s="305">
        <v>5.4585714285714282</v>
      </c>
      <c r="M124" s="305">
        <v>3.0465701359801147</v>
      </c>
      <c r="N124" s="305">
        <v>6.4610408464620122</v>
      </c>
      <c r="O124" s="311">
        <v>99</v>
      </c>
      <c r="P124" s="305">
        <v>7.4338842975206614</v>
      </c>
      <c r="Q124" s="305">
        <v>6.8261398605144761</v>
      </c>
      <c r="R124" s="312">
        <v>51</v>
      </c>
      <c r="S124" s="305">
        <v>1</v>
      </c>
      <c r="T124" s="305">
        <v>4.6377958368976335</v>
      </c>
      <c r="U124" s="305">
        <v>7.8571428571428568</v>
      </c>
      <c r="V124" s="305">
        <v>7.8571428571428568</v>
      </c>
      <c r="W124" s="312">
        <v>85</v>
      </c>
      <c r="X124" s="313">
        <v>235</v>
      </c>
      <c r="Y124" s="236">
        <f t="shared" si="3"/>
        <v>17.155705851063701</v>
      </c>
      <c r="Z124" s="25"/>
      <c r="AA124" s="25"/>
      <c r="AB124" s="25"/>
      <c r="AC124" s="25"/>
      <c r="AD124" s="25"/>
      <c r="AE124" s="25"/>
      <c r="AF124" s="25"/>
      <c r="AG124" s="25"/>
      <c r="AH124" s="25"/>
      <c r="AI124" s="25"/>
      <c r="AJ124" s="25"/>
      <c r="AK124" s="25"/>
      <c r="AL124" s="25"/>
      <c r="AM124" s="25"/>
      <c r="AN124" s="25"/>
      <c r="AO124" s="25"/>
      <c r="AP124" s="25"/>
      <c r="AQ124" s="25"/>
      <c r="AR124" s="25"/>
      <c r="AS124" s="25"/>
      <c r="AT124" s="25"/>
      <c r="AU124" s="25"/>
      <c r="AV124" s="25"/>
      <c r="AW124" s="25"/>
    </row>
    <row r="125" spans="1:49" s="13" customFormat="1">
      <c r="A125" s="13">
        <v>119</v>
      </c>
      <c r="B125" s="13">
        <v>0</v>
      </c>
      <c r="C125" s="294" t="s">
        <v>610</v>
      </c>
      <c r="D125" s="294" t="s">
        <v>609</v>
      </c>
      <c r="E125" s="294" t="s">
        <v>119</v>
      </c>
      <c r="F125" s="294" t="s">
        <v>128</v>
      </c>
      <c r="G125" s="350">
        <v>3</v>
      </c>
      <c r="H125" s="351">
        <v>3</v>
      </c>
      <c r="I125">
        <v>0</v>
      </c>
      <c r="J125" s="13">
        <v>0</v>
      </c>
      <c r="K125" s="305">
        <v>6.6922388461962043</v>
      </c>
      <c r="L125" s="305">
        <v>6.1428571428571432</v>
      </c>
      <c r="M125" s="305">
        <v>5.1822335658441343</v>
      </c>
      <c r="N125" s="305">
        <v>6.6908409671051778</v>
      </c>
      <c r="O125" s="311">
        <v>22</v>
      </c>
      <c r="P125" s="305">
        <v>7.0531136363636371</v>
      </c>
      <c r="Q125" s="305">
        <v>7.2788842880090447</v>
      </c>
      <c r="R125" s="312">
        <v>49</v>
      </c>
      <c r="S125" s="305">
        <v>3.4516272262574486</v>
      </c>
      <c r="T125" s="305">
        <v>6.1891573994867404</v>
      </c>
      <c r="U125" s="305">
        <v>7.3214285714285712</v>
      </c>
      <c r="V125" s="305">
        <v>9.7321428571428577</v>
      </c>
      <c r="W125" s="312">
        <v>26</v>
      </c>
      <c r="X125" s="313">
        <v>97</v>
      </c>
      <c r="Y125" s="236">
        <f t="shared" si="3"/>
        <v>20.129515932088612</v>
      </c>
      <c r="Z125" s="25"/>
      <c r="AA125" s="25"/>
      <c r="AB125" s="25"/>
      <c r="AC125" s="25"/>
      <c r="AD125" s="25"/>
      <c r="AE125" s="25"/>
      <c r="AF125" s="25"/>
      <c r="AG125" s="25"/>
      <c r="AH125" s="25"/>
      <c r="AI125" s="25"/>
      <c r="AJ125" s="25"/>
      <c r="AK125" s="25"/>
      <c r="AL125" s="25"/>
      <c r="AM125" s="25"/>
      <c r="AN125" s="25"/>
      <c r="AO125" s="25"/>
      <c r="AP125" s="25"/>
      <c r="AQ125" s="25"/>
      <c r="AR125" s="25"/>
      <c r="AS125" s="25"/>
      <c r="AT125" s="25"/>
      <c r="AU125" s="25"/>
      <c r="AV125" s="25"/>
      <c r="AW125" s="25"/>
    </row>
    <row r="126" spans="1:49" s="13" customFormat="1">
      <c r="A126" s="13">
        <v>120</v>
      </c>
      <c r="B126" s="13">
        <v>0</v>
      </c>
      <c r="C126" s="294" t="s">
        <v>490</v>
      </c>
      <c r="D126" s="294" t="s">
        <v>489</v>
      </c>
      <c r="E126" s="294" t="s">
        <v>107</v>
      </c>
      <c r="F126" s="294" t="s">
        <v>108</v>
      </c>
      <c r="G126" s="350">
        <v>4</v>
      </c>
      <c r="H126" s="351">
        <v>3</v>
      </c>
      <c r="I126">
        <v>0</v>
      </c>
      <c r="J126" s="13">
        <v>0</v>
      </c>
      <c r="K126" s="20">
        <v>5.76452130107094</v>
      </c>
      <c r="L126" s="20">
        <v>5.1928571428571431</v>
      </c>
      <c r="M126" s="20">
        <v>1.9316186020108885</v>
      </c>
      <c r="N126" s="20">
        <v>5.6220120693322109</v>
      </c>
      <c r="O126" s="311">
        <v>122</v>
      </c>
      <c r="P126" s="20">
        <v>6.9173140495867766</v>
      </c>
      <c r="Q126" s="20">
        <v>6.5708285754859013</v>
      </c>
      <c r="R126" s="312">
        <v>82</v>
      </c>
      <c r="S126" s="20">
        <v>2.7299182037646106</v>
      </c>
      <c r="T126" s="20">
        <v>3.1165526090675795</v>
      </c>
      <c r="U126" s="20">
        <v>7.8095238095238093</v>
      </c>
      <c r="V126" s="20">
        <v>8.4285714285714288</v>
      </c>
      <c r="W126" s="312">
        <v>79</v>
      </c>
      <c r="X126" s="313">
        <v>283</v>
      </c>
      <c r="Y126" s="236">
        <f t="shared" si="3"/>
        <v>16.719722367035555</v>
      </c>
      <c r="Z126" s="25"/>
      <c r="AA126" s="25"/>
      <c r="AB126" s="25"/>
      <c r="AC126" s="25"/>
      <c r="AD126" s="25"/>
      <c r="AE126" s="25"/>
      <c r="AF126" s="25"/>
      <c r="AG126" s="25"/>
      <c r="AH126" s="25"/>
      <c r="AI126" s="25"/>
      <c r="AJ126" s="25"/>
      <c r="AK126" s="25"/>
      <c r="AL126" s="25"/>
      <c r="AM126" s="25"/>
      <c r="AN126" s="25"/>
      <c r="AO126" s="25"/>
      <c r="AP126" s="25"/>
      <c r="AQ126" s="25"/>
      <c r="AR126" s="25"/>
      <c r="AS126" s="25"/>
      <c r="AT126" s="25"/>
      <c r="AU126" s="25"/>
      <c r="AV126" s="25"/>
      <c r="AW126" s="25"/>
    </row>
    <row r="127" spans="1:49" s="13" customFormat="1">
      <c r="A127" s="13">
        <v>121</v>
      </c>
      <c r="B127" s="13">
        <v>0</v>
      </c>
      <c r="C127" s="294" t="s">
        <v>257</v>
      </c>
      <c r="D127" s="294" t="s">
        <v>256</v>
      </c>
      <c r="E127" s="294" t="s">
        <v>107</v>
      </c>
      <c r="F127" s="294" t="s">
        <v>122</v>
      </c>
      <c r="G127" s="350">
        <v>4</v>
      </c>
      <c r="H127" s="351">
        <v>3</v>
      </c>
      <c r="I127">
        <v>0</v>
      </c>
      <c r="J127" s="13">
        <v>0</v>
      </c>
      <c r="K127" s="305">
        <v>5.2772736089093044</v>
      </c>
      <c r="L127" s="305">
        <v>3.8371428571428567</v>
      </c>
      <c r="M127" s="305">
        <v>1.6867511847729793</v>
      </c>
      <c r="N127" s="305">
        <v>5.5353826284973007</v>
      </c>
      <c r="O127" s="311">
        <v>146</v>
      </c>
      <c r="P127" s="305">
        <v>7.1624338842975206</v>
      </c>
      <c r="Q127" s="305">
        <v>6.3957796803937015</v>
      </c>
      <c r="R127" s="312">
        <v>80</v>
      </c>
      <c r="S127" s="305">
        <v>2.8759351687669992</v>
      </c>
      <c r="T127" s="305">
        <v>3.8639863130881098</v>
      </c>
      <c r="U127" s="305">
        <v>5</v>
      </c>
      <c r="V127" s="305">
        <v>5.7142857142857135</v>
      </c>
      <c r="W127" s="312">
        <v>133</v>
      </c>
      <c r="X127" s="313">
        <v>359</v>
      </c>
      <c r="Y127" s="236">
        <f t="shared" si="3"/>
        <v>14.843469049259516</v>
      </c>
      <c r="Z127" s="25"/>
      <c r="AA127" s="25"/>
      <c r="AB127" s="25"/>
      <c r="AC127" s="25"/>
      <c r="AD127" s="25"/>
      <c r="AE127" s="25"/>
      <c r="AF127" s="25"/>
      <c r="AG127" s="25"/>
      <c r="AH127" s="25"/>
      <c r="AI127" s="25"/>
      <c r="AJ127" s="25"/>
      <c r="AK127" s="25"/>
      <c r="AL127" s="25"/>
      <c r="AM127" s="25"/>
      <c r="AN127" s="25"/>
      <c r="AO127" s="25"/>
      <c r="AP127" s="25"/>
      <c r="AQ127" s="25"/>
      <c r="AR127" s="25"/>
      <c r="AS127" s="25"/>
      <c r="AT127" s="25"/>
      <c r="AU127" s="25"/>
      <c r="AV127" s="25"/>
      <c r="AW127" s="25"/>
    </row>
    <row r="128" spans="1:49" s="13" customFormat="1">
      <c r="A128" s="13">
        <v>122</v>
      </c>
      <c r="B128" s="13">
        <v>0</v>
      </c>
      <c r="C128" s="294" t="s">
        <v>380</v>
      </c>
      <c r="D128" s="294" t="s">
        <v>379</v>
      </c>
      <c r="E128" s="294" t="s">
        <v>107</v>
      </c>
      <c r="F128" s="294" t="s">
        <v>133</v>
      </c>
      <c r="G128" s="350">
        <v>2</v>
      </c>
      <c r="H128" s="351">
        <v>2</v>
      </c>
      <c r="I128">
        <v>0</v>
      </c>
      <c r="J128" s="13">
        <v>0</v>
      </c>
      <c r="K128" s="305">
        <v>7.8065482466977203</v>
      </c>
      <c r="L128" s="305">
        <v>6.6071428571428577</v>
      </c>
      <c r="M128" s="305">
        <v>3.2783893968193896</v>
      </c>
      <c r="N128" s="305">
        <v>4.3436226624316978</v>
      </c>
      <c r="O128" s="311">
        <v>59</v>
      </c>
      <c r="P128" s="305">
        <v>5.7531714876033062</v>
      </c>
      <c r="Q128" s="305">
        <v>8.4297028006778429</v>
      </c>
      <c r="R128" s="312">
        <v>55</v>
      </c>
      <c r="S128" s="305">
        <v>3.8397773652001983</v>
      </c>
      <c r="T128" s="305">
        <v>4.5047048759623607</v>
      </c>
      <c r="U128" s="305">
        <v>6</v>
      </c>
      <c r="V128" s="305">
        <v>6.2857142857142865</v>
      </c>
      <c r="W128" s="312">
        <v>94</v>
      </c>
      <c r="X128" s="313">
        <v>208</v>
      </c>
      <c r="Y128" s="236">
        <f t="shared" si="3"/>
        <v>19.096177723169969</v>
      </c>
      <c r="Z128" s="25"/>
      <c r="AA128" s="25"/>
      <c r="AB128" s="25"/>
      <c r="AC128" s="25"/>
      <c r="AD128" s="25"/>
      <c r="AE128" s="25"/>
      <c r="AF128" s="25"/>
      <c r="AG128" s="25"/>
      <c r="AH128" s="25"/>
      <c r="AI128" s="25"/>
      <c r="AJ128" s="25"/>
      <c r="AK128" s="25"/>
      <c r="AL128" s="25"/>
      <c r="AM128" s="25"/>
      <c r="AN128" s="25"/>
      <c r="AO128" s="25"/>
      <c r="AP128" s="25"/>
      <c r="AQ128" s="25"/>
      <c r="AR128" s="25"/>
      <c r="AS128" s="25"/>
      <c r="AT128" s="25"/>
      <c r="AU128" s="25"/>
      <c r="AV128" s="25"/>
      <c r="AW128" s="25"/>
    </row>
    <row r="129" spans="1:49" s="13" customFormat="1">
      <c r="A129" s="13">
        <v>123</v>
      </c>
      <c r="B129" s="13">
        <v>0</v>
      </c>
      <c r="C129" s="294" t="s">
        <v>482</v>
      </c>
      <c r="D129" s="294" t="s">
        <v>481</v>
      </c>
      <c r="E129" s="294" t="s">
        <v>107</v>
      </c>
      <c r="F129" s="294" t="s">
        <v>108</v>
      </c>
      <c r="G129" s="350">
        <v>4</v>
      </c>
      <c r="H129" s="351">
        <v>3</v>
      </c>
      <c r="I129">
        <v>0</v>
      </c>
      <c r="J129" s="13">
        <v>0</v>
      </c>
      <c r="K129" s="20">
        <v>7.6090566510107793</v>
      </c>
      <c r="L129" s="20">
        <v>5.277551020408163</v>
      </c>
      <c r="M129" s="20">
        <v>2.1152691649393205</v>
      </c>
      <c r="N129" s="20">
        <v>5.3280345275857641</v>
      </c>
      <c r="O129" s="311">
        <v>90</v>
      </c>
      <c r="P129" s="20">
        <v>6.7301735537190082</v>
      </c>
      <c r="Q129" s="20">
        <v>6.3751938856448609</v>
      </c>
      <c r="R129" s="312">
        <v>94</v>
      </c>
      <c r="S129" s="20">
        <v>2.4711226830836002</v>
      </c>
      <c r="T129" s="20">
        <v>3.9534706098008066</v>
      </c>
      <c r="U129" s="20">
        <v>6.9387755102040813</v>
      </c>
      <c r="V129" s="20">
        <v>8.5714285714285712</v>
      </c>
      <c r="W129" s="312">
        <v>81</v>
      </c>
      <c r="X129" s="313">
        <v>265</v>
      </c>
      <c r="Y129" s="236">
        <f t="shared" si="3"/>
        <v>16.941371070260132</v>
      </c>
      <c r="Z129" s="25"/>
      <c r="AA129" s="25"/>
      <c r="AB129" s="25"/>
      <c r="AC129" s="25"/>
      <c r="AD129" s="25"/>
      <c r="AE129" s="25"/>
      <c r="AF129" s="25"/>
      <c r="AG129" s="25"/>
      <c r="AH129" s="25"/>
      <c r="AI129" s="25"/>
      <c r="AJ129" s="25"/>
      <c r="AK129" s="25"/>
      <c r="AL129" s="25"/>
      <c r="AM129" s="25"/>
      <c r="AN129" s="25"/>
      <c r="AO129" s="25"/>
      <c r="AP129" s="25"/>
      <c r="AQ129" s="25"/>
      <c r="AR129" s="25"/>
      <c r="AS129" s="25"/>
      <c r="AT129" s="25"/>
      <c r="AU129" s="25"/>
      <c r="AV129" s="25"/>
      <c r="AW129" s="25"/>
    </row>
    <row r="130" spans="1:49" s="13" customFormat="1">
      <c r="A130" s="13">
        <v>124</v>
      </c>
      <c r="B130" s="13">
        <v>0</v>
      </c>
      <c r="C130" s="294" t="s">
        <v>251</v>
      </c>
      <c r="D130" s="294" t="s">
        <v>250</v>
      </c>
      <c r="E130" s="294" t="s">
        <v>119</v>
      </c>
      <c r="F130" s="294" t="s">
        <v>125</v>
      </c>
      <c r="G130" s="350">
        <v>2</v>
      </c>
      <c r="H130" s="351">
        <v>2</v>
      </c>
      <c r="I130">
        <v>0</v>
      </c>
      <c r="J130" s="13">
        <v>0</v>
      </c>
      <c r="K130" s="20">
        <v>8.7995497187947542</v>
      </c>
      <c r="L130" s="20">
        <v>1</v>
      </c>
      <c r="M130" s="20">
        <v>2.5193004033818709</v>
      </c>
      <c r="N130" s="20">
        <v>4.5126987161845245</v>
      </c>
      <c r="O130" s="311">
        <v>141</v>
      </c>
      <c r="P130" s="20">
        <v>3.4993037190082648</v>
      </c>
      <c r="Q130" s="20">
        <v>7.4606400621677169</v>
      </c>
      <c r="R130" s="312">
        <v>141</v>
      </c>
      <c r="S130" s="20">
        <v>4.2462709221611261</v>
      </c>
      <c r="T130" s="20">
        <v>1</v>
      </c>
      <c r="U130" s="20">
        <v>1</v>
      </c>
      <c r="V130" s="20">
        <v>1</v>
      </c>
      <c r="W130" s="312">
        <v>162</v>
      </c>
      <c r="X130" s="313">
        <v>444</v>
      </c>
      <c r="Y130" s="236">
        <f t="shared" ref="Y130:Y161" si="4">(((AVERAGE(K130:N130)+AVERAGE(Q130+AVERAGE(S130:V130)))))</f>
        <v>13.480095002298286</v>
      </c>
      <c r="Z130" s="25"/>
      <c r="AA130" s="25"/>
      <c r="AB130" s="25"/>
      <c r="AC130" s="25"/>
      <c r="AD130" s="25"/>
      <c r="AE130" s="25"/>
      <c r="AF130" s="25"/>
      <c r="AG130" s="25"/>
      <c r="AH130" s="25"/>
      <c r="AI130" s="25"/>
      <c r="AJ130" s="25"/>
      <c r="AK130" s="25"/>
      <c r="AL130" s="25"/>
      <c r="AM130" s="25"/>
      <c r="AN130" s="25"/>
      <c r="AO130" s="25"/>
      <c r="AP130" s="25"/>
      <c r="AQ130" s="25"/>
      <c r="AR130" s="25"/>
      <c r="AS130" s="25"/>
      <c r="AT130" s="25"/>
      <c r="AU130" s="25"/>
      <c r="AV130" s="25"/>
      <c r="AW130" s="25"/>
    </row>
    <row r="131" spans="1:49" s="13" customFormat="1">
      <c r="A131" s="13">
        <v>125</v>
      </c>
      <c r="B131" s="13">
        <v>0</v>
      </c>
      <c r="C131" s="294" t="s">
        <v>358</v>
      </c>
      <c r="D131" s="294" t="s">
        <v>357</v>
      </c>
      <c r="E131" s="294" t="s">
        <v>107</v>
      </c>
      <c r="F131" s="294" t="s">
        <v>108</v>
      </c>
      <c r="G131" s="350">
        <v>3</v>
      </c>
      <c r="H131" s="351">
        <v>3</v>
      </c>
      <c r="I131">
        <v>0</v>
      </c>
      <c r="J131" s="13">
        <v>0</v>
      </c>
      <c r="K131" s="20">
        <v>6.598799519944313</v>
      </c>
      <c r="L131" s="20">
        <v>5.7470238095238093</v>
      </c>
      <c r="M131" s="20">
        <v>3.4620399597478215</v>
      </c>
      <c r="N131" s="20">
        <v>6.1120594193812519</v>
      </c>
      <c r="O131" s="311">
        <v>61</v>
      </c>
      <c r="P131" s="20">
        <v>6.912423553719008</v>
      </c>
      <c r="Q131" s="20">
        <v>7.2455072645453606</v>
      </c>
      <c r="R131" s="312">
        <v>58</v>
      </c>
      <c r="S131" s="20">
        <v>3.1316740511295866</v>
      </c>
      <c r="T131" s="20">
        <v>3.2335329341317367</v>
      </c>
      <c r="U131" s="20">
        <v>9.0892857142857135</v>
      </c>
      <c r="V131" s="20">
        <v>8.8392857142857135</v>
      </c>
      <c r="W131" s="312">
        <v>49</v>
      </c>
      <c r="X131" s="313">
        <v>168</v>
      </c>
      <c r="Y131" s="236">
        <f t="shared" si="4"/>
        <v>18.798932545152848</v>
      </c>
      <c r="Z131" s="25"/>
      <c r="AA131" s="25"/>
      <c r="AB131" s="25"/>
      <c r="AC131" s="25"/>
      <c r="AD131" s="25"/>
      <c r="AE131" s="25"/>
      <c r="AF131" s="25"/>
      <c r="AG131" s="25"/>
      <c r="AH131" s="25"/>
      <c r="AI131" s="25"/>
      <c r="AJ131" s="25"/>
      <c r="AK131" s="25"/>
      <c r="AL131" s="25"/>
      <c r="AM131" s="25"/>
      <c r="AN131" s="25"/>
      <c r="AO131" s="25"/>
      <c r="AP131" s="25"/>
      <c r="AQ131" s="25"/>
      <c r="AR131" s="25"/>
      <c r="AS131" s="25"/>
      <c r="AT131" s="25"/>
      <c r="AU131" s="25"/>
      <c r="AV131" s="25"/>
      <c r="AW131" s="25"/>
    </row>
    <row r="132" spans="1:49" s="13" customFormat="1">
      <c r="A132" s="13">
        <v>126</v>
      </c>
      <c r="B132" s="13">
        <v>0</v>
      </c>
      <c r="C132" s="294" t="s">
        <v>285</v>
      </c>
      <c r="D132" s="294" t="s">
        <v>284</v>
      </c>
      <c r="E132" s="294" t="s">
        <v>107</v>
      </c>
      <c r="F132" s="294" t="s">
        <v>122</v>
      </c>
      <c r="G132" s="350">
        <v>4</v>
      </c>
      <c r="H132" s="351">
        <v>4</v>
      </c>
      <c r="I132">
        <v>0</v>
      </c>
      <c r="J132" s="13">
        <v>0</v>
      </c>
      <c r="K132" s="20">
        <v>5.0203279755229895</v>
      </c>
      <c r="L132" s="20">
        <v>4.0542857142857143</v>
      </c>
      <c r="M132" s="20">
        <v>1.6345653187147891</v>
      </c>
      <c r="N132" s="20">
        <v>4.9565456738220544</v>
      </c>
      <c r="O132" s="311">
        <v>154</v>
      </c>
      <c r="P132" s="20">
        <v>7.01248347107438</v>
      </c>
      <c r="Q132" s="20">
        <v>6.3866820083481475</v>
      </c>
      <c r="R132" s="312">
        <v>85</v>
      </c>
      <c r="S132" s="20">
        <v>2.3945687876726383</v>
      </c>
      <c r="T132" s="20">
        <v>2.8954234388366125</v>
      </c>
      <c r="U132" s="20">
        <v>4.2857142857142856</v>
      </c>
      <c r="V132" s="20">
        <v>5.7142857142857135</v>
      </c>
      <c r="W132" s="312">
        <v>141</v>
      </c>
      <c r="X132" s="313">
        <v>380</v>
      </c>
      <c r="Y132" s="236">
        <f t="shared" si="4"/>
        <v>14.125611235561847</v>
      </c>
      <c r="Z132" s="25"/>
      <c r="AA132" s="25"/>
      <c r="AB132" s="25"/>
      <c r="AC132" s="25"/>
      <c r="AD132" s="25"/>
      <c r="AE132" s="25"/>
      <c r="AF132" s="25"/>
      <c r="AG132" s="25"/>
      <c r="AH132" s="25"/>
      <c r="AI132" s="25"/>
      <c r="AJ132" s="25"/>
      <c r="AK132" s="25"/>
      <c r="AL132" s="25"/>
      <c r="AM132" s="25"/>
      <c r="AN132" s="25"/>
      <c r="AO132" s="25"/>
      <c r="AP132" s="25"/>
      <c r="AQ132" s="25"/>
      <c r="AR132" s="25"/>
      <c r="AS132" s="25"/>
      <c r="AT132" s="25"/>
      <c r="AU132" s="25"/>
      <c r="AV132" s="25"/>
      <c r="AW132" s="25"/>
    </row>
    <row r="133" spans="1:49" s="13" customFormat="1">
      <c r="A133" s="13">
        <v>127</v>
      </c>
      <c r="B133" s="13">
        <v>0</v>
      </c>
      <c r="C133" s="294" t="s">
        <v>313</v>
      </c>
      <c r="D133" s="294" t="s">
        <v>312</v>
      </c>
      <c r="E133" s="294" t="s">
        <v>107</v>
      </c>
      <c r="F133" s="294" t="s">
        <v>122</v>
      </c>
      <c r="G133" s="350">
        <v>4</v>
      </c>
      <c r="H133" s="351">
        <v>3</v>
      </c>
      <c r="I133">
        <v>0</v>
      </c>
      <c r="J133" s="13">
        <v>0</v>
      </c>
      <c r="K133" s="305">
        <v>7.4342127274937582</v>
      </c>
      <c r="L133" s="305">
        <v>2.2385714285714284</v>
      </c>
      <c r="M133" s="305">
        <v>2.1764860192487978</v>
      </c>
      <c r="N133" s="305">
        <v>5.5714687023823224</v>
      </c>
      <c r="O133" s="311">
        <v>137</v>
      </c>
      <c r="P133" s="305">
        <v>5.3876115702479339</v>
      </c>
      <c r="Q133" s="305">
        <v>6.5140710634970631</v>
      </c>
      <c r="R133" s="312">
        <v>133</v>
      </c>
      <c r="S133" s="305">
        <v>3.0905763803984541</v>
      </c>
      <c r="T133" s="305">
        <v>3.7852865697177069</v>
      </c>
      <c r="U133" s="305">
        <v>4.2857142857142856</v>
      </c>
      <c r="V133" s="305">
        <v>2.8571428571428568</v>
      </c>
      <c r="W133" s="312">
        <v>144</v>
      </c>
      <c r="X133" s="313">
        <v>414</v>
      </c>
      <c r="Y133" s="236">
        <f t="shared" si="4"/>
        <v>14.373935806164466</v>
      </c>
      <c r="Z133" s="25"/>
      <c r="AA133" s="25"/>
      <c r="AB133" s="25"/>
      <c r="AC133" s="25"/>
      <c r="AD133" s="25"/>
      <c r="AE133" s="25"/>
      <c r="AF133" s="25"/>
      <c r="AG133" s="25"/>
      <c r="AH133" s="25"/>
      <c r="AI133" s="25"/>
      <c r="AJ133" s="25"/>
      <c r="AK133" s="25"/>
      <c r="AL133" s="25"/>
      <c r="AM133" s="25"/>
      <c r="AN133" s="25"/>
      <c r="AO133" s="25"/>
      <c r="AP133" s="25"/>
      <c r="AQ133" s="25"/>
      <c r="AR133" s="25"/>
      <c r="AS133" s="25"/>
      <c r="AT133" s="25"/>
      <c r="AU133" s="25"/>
      <c r="AV133" s="25"/>
      <c r="AW133" s="25"/>
    </row>
    <row r="134" spans="1:49" s="13" customFormat="1">
      <c r="A134" s="13">
        <v>128</v>
      </c>
      <c r="B134" s="13">
        <v>0</v>
      </c>
      <c r="C134" s="294" t="s">
        <v>438</v>
      </c>
      <c r="D134" s="294" t="s">
        <v>437</v>
      </c>
      <c r="E134" s="294" t="s">
        <v>115</v>
      </c>
      <c r="F134" s="294" t="s">
        <v>124</v>
      </c>
      <c r="G134" s="350">
        <v>3</v>
      </c>
      <c r="H134" s="351">
        <v>3</v>
      </c>
      <c r="I134">
        <v>0</v>
      </c>
      <c r="J134" s="13">
        <v>0</v>
      </c>
      <c r="K134" s="20">
        <v>7.7996850147037806</v>
      </c>
      <c r="L134" s="20">
        <v>5.0892857142857135</v>
      </c>
      <c r="M134" s="20">
        <v>2.0540523106298432</v>
      </c>
      <c r="N134" s="20">
        <v>6.2061622938859777</v>
      </c>
      <c r="O134" s="311">
        <v>75</v>
      </c>
      <c r="P134" s="20">
        <v>6.6534132231404959</v>
      </c>
      <c r="Q134" s="20">
        <v>6.9794979429736772</v>
      </c>
      <c r="R134" s="312">
        <v>76</v>
      </c>
      <c r="S134" s="20">
        <v>4.0114909391532123</v>
      </c>
      <c r="T134" s="20">
        <v>5.2756629597946958</v>
      </c>
      <c r="U134" s="20">
        <v>3.7142857142857144</v>
      </c>
      <c r="V134" s="20">
        <v>6.9285714285714288</v>
      </c>
      <c r="W134" s="312">
        <v>101</v>
      </c>
      <c r="X134" s="313">
        <v>252</v>
      </c>
      <c r="Y134" s="236">
        <f t="shared" si="4"/>
        <v>17.24929703680127</v>
      </c>
      <c r="Z134" s="25"/>
      <c r="AA134" s="25"/>
      <c r="AB134" s="25"/>
      <c r="AC134" s="25"/>
      <c r="AD134" s="25"/>
      <c r="AE134" s="25"/>
      <c r="AF134" s="25"/>
      <c r="AG134" s="25"/>
      <c r="AH134" s="25"/>
      <c r="AI134" s="25"/>
      <c r="AJ134" s="25"/>
      <c r="AK134" s="25"/>
      <c r="AL134" s="25"/>
      <c r="AM134" s="25"/>
      <c r="AN134" s="25"/>
      <c r="AO134" s="25"/>
      <c r="AP134" s="25"/>
      <c r="AQ134" s="25"/>
      <c r="AR134" s="25"/>
      <c r="AS134" s="25"/>
      <c r="AT134" s="25"/>
      <c r="AU134" s="25"/>
      <c r="AV134" s="25"/>
      <c r="AW134" s="25"/>
    </row>
    <row r="135" spans="1:49" s="13" customFormat="1">
      <c r="A135" s="13">
        <v>132</v>
      </c>
      <c r="B135" s="13">
        <v>0</v>
      </c>
      <c r="C135" s="294" t="s">
        <v>394</v>
      </c>
      <c r="D135" s="294" t="s">
        <v>393</v>
      </c>
      <c r="E135" s="294" t="s">
        <v>106</v>
      </c>
      <c r="F135" s="294" t="s">
        <v>106</v>
      </c>
      <c r="G135" s="350">
        <v>4</v>
      </c>
      <c r="H135" s="351">
        <v>3</v>
      </c>
      <c r="I135">
        <v>0</v>
      </c>
      <c r="J135" s="13">
        <v>0</v>
      </c>
      <c r="K135" s="20">
        <v>7.8351374275093715</v>
      </c>
      <c r="L135" s="20">
        <v>5.4368506493506494</v>
      </c>
      <c r="M135" s="20">
        <v>1.5643174761540246</v>
      </c>
      <c r="N135" s="20">
        <v>5.4018655902299697</v>
      </c>
      <c r="O135" s="311">
        <v>92</v>
      </c>
      <c r="P135" s="20">
        <v>6.7152231404958673</v>
      </c>
      <c r="Q135" s="20">
        <v>6.3183980461934723</v>
      </c>
      <c r="R135" s="312">
        <v>99</v>
      </c>
      <c r="S135" s="20">
        <v>3.5837659223617666</v>
      </c>
      <c r="T135" s="20">
        <v>6.423822808927599</v>
      </c>
      <c r="U135" s="20">
        <v>8.6120129870129869</v>
      </c>
      <c r="V135" s="20">
        <v>9.8214285714285712</v>
      </c>
      <c r="W135" s="312">
        <v>9</v>
      </c>
      <c r="X135" s="313">
        <v>200</v>
      </c>
      <c r="Y135" s="236">
        <f t="shared" si="4"/>
        <v>18.488198404437206</v>
      </c>
      <c r="Z135" s="25"/>
      <c r="AA135" s="25"/>
      <c r="AB135" s="25"/>
      <c r="AC135" s="25"/>
      <c r="AD135" s="25"/>
      <c r="AE135" s="25"/>
      <c r="AF135" s="25"/>
      <c r="AG135" s="25"/>
      <c r="AH135" s="25"/>
      <c r="AI135" s="25"/>
      <c r="AJ135" s="25"/>
      <c r="AK135" s="25"/>
      <c r="AL135" s="25"/>
      <c r="AM135" s="25"/>
      <c r="AN135" s="25"/>
      <c r="AO135" s="25"/>
      <c r="AP135" s="25"/>
      <c r="AQ135" s="25"/>
      <c r="AR135" s="25"/>
      <c r="AS135" s="25"/>
      <c r="AT135" s="25"/>
      <c r="AU135" s="25"/>
      <c r="AV135" s="25"/>
      <c r="AW135" s="25"/>
    </row>
    <row r="136" spans="1:49" s="13" customFormat="1">
      <c r="A136" s="13">
        <v>135</v>
      </c>
      <c r="B136" s="13">
        <v>0</v>
      </c>
      <c r="C136" s="294" t="s">
        <v>620</v>
      </c>
      <c r="D136" s="294" t="s">
        <v>619</v>
      </c>
      <c r="E136" s="294" t="s">
        <v>113</v>
      </c>
      <c r="F136" s="294" t="s">
        <v>114</v>
      </c>
      <c r="G136" s="350">
        <v>3</v>
      </c>
      <c r="H136" s="351">
        <v>2</v>
      </c>
      <c r="I136">
        <v>0</v>
      </c>
      <c r="J136" s="13">
        <v>0</v>
      </c>
      <c r="K136" s="305">
        <v>6.7742940841479866</v>
      </c>
      <c r="L136" s="305">
        <v>6.8571428571428568</v>
      </c>
      <c r="M136" s="305">
        <v>2.3942025682265817</v>
      </c>
      <c r="N136" s="305">
        <v>6.8726013144083264</v>
      </c>
      <c r="O136" s="311">
        <v>44</v>
      </c>
      <c r="P136" s="305">
        <v>7.2876342975206612</v>
      </c>
      <c r="Q136" s="305">
        <v>7.7010956618582869</v>
      </c>
      <c r="R136" s="312">
        <v>24</v>
      </c>
      <c r="S136" s="305">
        <v>3.1518366999587433</v>
      </c>
      <c r="T136" s="305">
        <v>5.2393071000855436</v>
      </c>
      <c r="U136" s="305">
        <v>8.5714285714285712</v>
      </c>
      <c r="V136" s="305">
        <v>8.2142857142857135</v>
      </c>
      <c r="W136" s="312">
        <v>41</v>
      </c>
      <c r="X136" s="313">
        <v>109</v>
      </c>
      <c r="Y136" s="236">
        <f t="shared" si="4"/>
        <v>19.719870389279372</v>
      </c>
      <c r="Z136" s="25"/>
      <c r="AA136" s="25"/>
      <c r="AB136" s="25"/>
      <c r="AC136" s="25"/>
      <c r="AD136" s="25"/>
      <c r="AE136" s="25"/>
      <c r="AF136" s="25"/>
      <c r="AG136" s="25"/>
      <c r="AH136" s="25"/>
      <c r="AI136" s="25"/>
      <c r="AJ136" s="25"/>
      <c r="AK136" s="25"/>
      <c r="AL136" s="25"/>
      <c r="AM136" s="25"/>
      <c r="AN136" s="25"/>
      <c r="AO136" s="25"/>
      <c r="AP136" s="25"/>
      <c r="AQ136" s="25"/>
      <c r="AR136" s="25"/>
      <c r="AS136" s="25"/>
      <c r="AT136" s="25"/>
      <c r="AU136" s="25"/>
      <c r="AV136" s="25"/>
      <c r="AW136" s="25"/>
    </row>
    <row r="137" spans="1:49" s="13" customFormat="1">
      <c r="A137" s="13">
        <v>136</v>
      </c>
      <c r="B137" s="13">
        <v>0</v>
      </c>
      <c r="C137" s="294" t="s">
        <v>488</v>
      </c>
      <c r="D137" s="294" t="s">
        <v>487</v>
      </c>
      <c r="E137" s="294" t="s">
        <v>106</v>
      </c>
      <c r="F137" s="294" t="s">
        <v>106</v>
      </c>
      <c r="G137" s="350">
        <v>3</v>
      </c>
      <c r="H137" s="351">
        <v>3</v>
      </c>
      <c r="I137">
        <v>0</v>
      </c>
      <c r="J137" s="13">
        <v>0</v>
      </c>
      <c r="K137" s="20">
        <v>7.2480283692504885</v>
      </c>
      <c r="L137" s="20">
        <v>2.7653061224489792</v>
      </c>
      <c r="M137" s="20">
        <v>1.6735918188307946</v>
      </c>
      <c r="N137" s="20">
        <v>5.51102391740939</v>
      </c>
      <c r="O137" s="311">
        <v>139</v>
      </c>
      <c r="P137" s="20">
        <v>6.4751425619834713</v>
      </c>
      <c r="Q137" s="20">
        <v>6.7000287902317677</v>
      </c>
      <c r="R137" s="312">
        <v>91</v>
      </c>
      <c r="S137" s="20">
        <v>3.4328983345508526</v>
      </c>
      <c r="T137" s="20">
        <v>6.0637602346327739</v>
      </c>
      <c r="U137" s="20">
        <v>7.4489795918367356</v>
      </c>
      <c r="V137" s="20">
        <v>9.1326530612244898</v>
      </c>
      <c r="W137" s="312">
        <v>32</v>
      </c>
      <c r="X137" s="313">
        <v>262</v>
      </c>
      <c r="Y137" s="236">
        <f t="shared" si="4"/>
        <v>17.519089152777894</v>
      </c>
      <c r="Z137" s="25"/>
      <c r="AA137" s="25"/>
      <c r="AB137" s="25"/>
      <c r="AC137" s="25"/>
      <c r="AD137" s="25"/>
      <c r="AE137" s="25"/>
      <c r="AF137" s="25"/>
      <c r="AG137" s="25"/>
      <c r="AH137" s="25"/>
      <c r="AI137" s="25"/>
      <c r="AJ137" s="25"/>
      <c r="AK137" s="25"/>
      <c r="AL137" s="25"/>
      <c r="AM137" s="25"/>
      <c r="AN137" s="25"/>
      <c r="AO137" s="25"/>
      <c r="AP137" s="25"/>
      <c r="AQ137" s="25"/>
      <c r="AR137" s="25"/>
      <c r="AS137" s="25"/>
      <c r="AT137" s="25"/>
      <c r="AU137" s="25"/>
      <c r="AV137" s="25"/>
      <c r="AW137" s="25"/>
    </row>
    <row r="138" spans="1:49" s="13" customFormat="1">
      <c r="A138" s="13">
        <v>137</v>
      </c>
      <c r="B138" s="13">
        <v>0</v>
      </c>
      <c r="C138" s="294" t="s">
        <v>634</v>
      </c>
      <c r="D138" s="294" t="s">
        <v>633</v>
      </c>
      <c r="E138" s="294" t="s">
        <v>115</v>
      </c>
      <c r="F138" s="294" t="s">
        <v>124</v>
      </c>
      <c r="G138" s="350">
        <v>2</v>
      </c>
      <c r="H138" s="351">
        <v>2</v>
      </c>
      <c r="I138">
        <v>0</v>
      </c>
      <c r="J138" s="13">
        <v>0</v>
      </c>
      <c r="K138" s="305">
        <v>8.279770380590989</v>
      </c>
      <c r="L138" s="305">
        <v>6.1642857142857146</v>
      </c>
      <c r="M138" s="305">
        <v>2.788654562343571</v>
      </c>
      <c r="N138" s="305">
        <v>6.7863773696761243</v>
      </c>
      <c r="O138" s="311">
        <v>32</v>
      </c>
      <c r="P138" s="305">
        <v>6.4876942148760328</v>
      </c>
      <c r="Q138" s="305">
        <v>7.4741327017761616</v>
      </c>
      <c r="R138" s="312">
        <v>64</v>
      </c>
      <c r="S138" s="305">
        <v>4.4240795628489868</v>
      </c>
      <c r="T138" s="305">
        <v>5.5868263473053892</v>
      </c>
      <c r="U138" s="305">
        <v>4.5</v>
      </c>
      <c r="V138" s="305">
        <v>6.4285714285714288</v>
      </c>
      <c r="W138" s="312">
        <v>91</v>
      </c>
      <c r="X138" s="313">
        <v>187</v>
      </c>
      <c r="Y138" s="236">
        <f t="shared" si="4"/>
        <v>18.713774043181711</v>
      </c>
      <c r="Z138" s="25"/>
      <c r="AA138" s="25"/>
      <c r="AB138" s="25"/>
      <c r="AC138" s="25"/>
      <c r="AD138" s="25"/>
      <c r="AE138" s="25"/>
      <c r="AF138" s="25"/>
      <c r="AG138" s="25"/>
      <c r="AH138" s="25"/>
      <c r="AI138" s="25"/>
      <c r="AJ138" s="25"/>
      <c r="AK138" s="25"/>
      <c r="AL138" s="25"/>
      <c r="AM138" s="25"/>
      <c r="AN138" s="25"/>
      <c r="AO138" s="25"/>
      <c r="AP138" s="25"/>
      <c r="AQ138" s="25"/>
      <c r="AR138" s="25"/>
      <c r="AS138" s="25"/>
      <c r="AT138" s="25"/>
      <c r="AU138" s="25"/>
      <c r="AV138" s="25"/>
      <c r="AW138" s="25"/>
    </row>
    <row r="139" spans="1:49" s="13" customFormat="1">
      <c r="A139" s="13">
        <v>138</v>
      </c>
      <c r="B139" s="13">
        <v>0</v>
      </c>
      <c r="C139" s="294" t="s">
        <v>624</v>
      </c>
      <c r="D139" s="294" t="s">
        <v>623</v>
      </c>
      <c r="E139" s="294" t="s">
        <v>115</v>
      </c>
      <c r="F139" s="294" t="s">
        <v>116</v>
      </c>
      <c r="G139" s="350">
        <v>2</v>
      </c>
      <c r="H139" s="351">
        <v>3</v>
      </c>
      <c r="I139">
        <v>0</v>
      </c>
      <c r="J139" s="13">
        <v>0</v>
      </c>
      <c r="K139" s="20">
        <v>8.0395071478571225</v>
      </c>
      <c r="L139" s="20">
        <v>5.9798941798941803</v>
      </c>
      <c r="M139" s="20">
        <v>2.1764860192487978</v>
      </c>
      <c r="N139" s="20">
        <v>7.0471388233680905</v>
      </c>
      <c r="O139" s="311">
        <v>38</v>
      </c>
      <c r="P139" s="20">
        <v>6.1839442148760337</v>
      </c>
      <c r="Q139" s="20">
        <v>7.4638872917356052</v>
      </c>
      <c r="R139" s="312">
        <v>73</v>
      </c>
      <c r="S139" s="20">
        <v>4.2509472938696069</v>
      </c>
      <c r="T139" s="20">
        <v>6.7954012609701229</v>
      </c>
      <c r="U139" s="20">
        <v>8.8888888888888893</v>
      </c>
      <c r="V139" s="20">
        <v>9.4708994708994716</v>
      </c>
      <c r="W139" s="312">
        <v>5</v>
      </c>
      <c r="X139" s="313">
        <v>116</v>
      </c>
      <c r="Y139" s="236">
        <f t="shared" si="4"/>
        <v>20.626178062984675</v>
      </c>
      <c r="Z139" s="25"/>
      <c r="AA139" s="25"/>
      <c r="AB139" s="25"/>
      <c r="AC139" s="25"/>
      <c r="AD139" s="25"/>
      <c r="AE139" s="25"/>
      <c r="AF139" s="25"/>
      <c r="AG139" s="25"/>
      <c r="AH139" s="25"/>
      <c r="AI139" s="25"/>
      <c r="AJ139" s="25"/>
      <c r="AK139" s="25"/>
      <c r="AL139" s="25"/>
      <c r="AM139" s="25"/>
      <c r="AN139" s="25"/>
      <c r="AO139" s="25"/>
      <c r="AP139" s="25"/>
      <c r="AQ139" s="25"/>
      <c r="AR139" s="25"/>
      <c r="AS139" s="25"/>
      <c r="AT139" s="25"/>
      <c r="AU139" s="25"/>
      <c r="AV139" s="25"/>
      <c r="AW139" s="25"/>
    </row>
    <row r="140" spans="1:49" s="13" customFormat="1">
      <c r="A140" s="13">
        <v>139</v>
      </c>
      <c r="B140" s="13">
        <v>0</v>
      </c>
      <c r="C140" s="294" t="s">
        <v>398</v>
      </c>
      <c r="D140" s="294" t="s">
        <v>397</v>
      </c>
      <c r="E140" s="294" t="s">
        <v>119</v>
      </c>
      <c r="F140" s="294" t="s">
        <v>125</v>
      </c>
      <c r="G140" s="350">
        <v>3</v>
      </c>
      <c r="H140" s="351">
        <v>3</v>
      </c>
      <c r="I140">
        <v>0</v>
      </c>
      <c r="J140" s="13">
        <v>0</v>
      </c>
      <c r="K140" s="305">
        <v>8.09164711215411</v>
      </c>
      <c r="L140" s="305">
        <v>5.6264285714285709</v>
      </c>
      <c r="M140" s="305">
        <v>2.0907824232155297</v>
      </c>
      <c r="N140" s="305">
        <v>7.1731350146402821</v>
      </c>
      <c r="O140" s="311">
        <v>42</v>
      </c>
      <c r="P140" s="305">
        <v>5.0216425619834713</v>
      </c>
      <c r="Q140" s="305">
        <v>6.68020794626569</v>
      </c>
      <c r="R140" s="312">
        <v>134</v>
      </c>
      <c r="S140" s="305">
        <v>4.5381230770644114</v>
      </c>
      <c r="T140" s="305">
        <v>6.0350727117194189</v>
      </c>
      <c r="U140" s="305">
        <v>8.9285714285714288</v>
      </c>
      <c r="V140" s="305">
        <v>8.2142857142857135</v>
      </c>
      <c r="W140" s="312">
        <v>16</v>
      </c>
      <c r="X140" s="313">
        <v>192</v>
      </c>
      <c r="Y140" s="236">
        <f t="shared" si="4"/>
        <v>19.354719459535556</v>
      </c>
      <c r="Z140" s="25"/>
      <c r="AA140" s="25"/>
      <c r="AB140" s="25"/>
      <c r="AC140" s="25"/>
      <c r="AD140" s="25"/>
      <c r="AE140" s="25"/>
      <c r="AF140" s="25"/>
      <c r="AG140" s="25"/>
      <c r="AH140" s="25"/>
      <c r="AI140" s="25"/>
      <c r="AJ140" s="25"/>
      <c r="AK140" s="25"/>
      <c r="AL140" s="25"/>
      <c r="AM140" s="25"/>
      <c r="AN140" s="25"/>
      <c r="AO140" s="25"/>
      <c r="AP140" s="25"/>
      <c r="AQ140" s="25"/>
      <c r="AR140" s="25"/>
      <c r="AS140" s="25"/>
      <c r="AT140" s="25"/>
      <c r="AU140" s="25"/>
      <c r="AV140" s="25"/>
      <c r="AW140" s="25"/>
    </row>
    <row r="141" spans="1:49" s="13" customFormat="1">
      <c r="A141" s="13">
        <v>140</v>
      </c>
      <c r="B141" s="13">
        <v>0</v>
      </c>
      <c r="C141" s="294" t="s">
        <v>486</v>
      </c>
      <c r="D141" s="294" t="s">
        <v>485</v>
      </c>
      <c r="E141" s="294" t="s">
        <v>119</v>
      </c>
      <c r="F141" s="294" t="s">
        <v>136</v>
      </c>
      <c r="G141" s="350"/>
      <c r="H141" s="351">
        <v>3</v>
      </c>
      <c r="I141">
        <v>0</v>
      </c>
      <c r="J141" s="13">
        <v>0</v>
      </c>
      <c r="K141" s="305">
        <v>6.7985251979831869</v>
      </c>
      <c r="L141" s="305">
        <v>4.7321428571428568</v>
      </c>
      <c r="M141" s="305">
        <v>4.4966047975779881</v>
      </c>
      <c r="N141" s="305">
        <v>8.1375533807979394</v>
      </c>
      <c r="O141" s="311">
        <v>29</v>
      </c>
      <c r="P141" s="305">
        <v>7.5466446280991741</v>
      </c>
      <c r="Q141" s="305">
        <v>1</v>
      </c>
      <c r="R141" s="312">
        <v>147</v>
      </c>
      <c r="S141" s="305">
        <v>1</v>
      </c>
      <c r="T141" s="305">
        <v>4.9642857142857144</v>
      </c>
      <c r="U141" s="305">
        <v>8.2142857142857135</v>
      </c>
      <c r="V141" s="305">
        <v>4.6428571428571432</v>
      </c>
      <c r="W141" s="312">
        <v>116</v>
      </c>
      <c r="X141" s="313">
        <v>292</v>
      </c>
      <c r="Y141" s="236">
        <f t="shared" si="4"/>
        <v>11.746563701232635</v>
      </c>
      <c r="Z141" s="25"/>
      <c r="AA141" s="25"/>
      <c r="AB141" s="25"/>
      <c r="AC141" s="25"/>
      <c r="AD141" s="25"/>
      <c r="AE141" s="25"/>
      <c r="AF141" s="25"/>
      <c r="AG141" s="25"/>
      <c r="AH141" s="25"/>
      <c r="AI141" s="25"/>
      <c r="AJ141" s="25"/>
      <c r="AK141" s="25"/>
      <c r="AL141" s="25"/>
      <c r="AM141" s="25"/>
      <c r="AN141" s="25"/>
      <c r="AO141" s="25"/>
      <c r="AP141" s="25"/>
      <c r="AQ141" s="25"/>
      <c r="AR141" s="25"/>
      <c r="AS141" s="25"/>
      <c r="AT141" s="25"/>
      <c r="AU141" s="25"/>
      <c r="AV141" s="25"/>
      <c r="AW141" s="25"/>
    </row>
    <row r="142" spans="1:49" s="13" customFormat="1">
      <c r="A142" s="13">
        <v>141</v>
      </c>
      <c r="B142" s="13">
        <v>0</v>
      </c>
      <c r="C142" s="294" t="s">
        <v>504</v>
      </c>
      <c r="D142" s="294" t="s">
        <v>503</v>
      </c>
      <c r="E142" s="294" t="s">
        <v>119</v>
      </c>
      <c r="F142" s="294" t="s">
        <v>136</v>
      </c>
      <c r="G142" s="350">
        <v>4</v>
      </c>
      <c r="H142" s="351">
        <v>3</v>
      </c>
      <c r="I142">
        <v>0</v>
      </c>
      <c r="J142" s="13">
        <v>0</v>
      </c>
      <c r="K142" s="20">
        <v>6.5258241743525733</v>
      </c>
      <c r="L142" s="20">
        <v>5</v>
      </c>
      <c r="M142" s="20">
        <v>1.44188376753507</v>
      </c>
      <c r="N142" s="20">
        <v>5.4017380624819786</v>
      </c>
      <c r="O142" s="311">
        <v>128</v>
      </c>
      <c r="P142" s="20">
        <v>6.5054338842975206</v>
      </c>
      <c r="Q142" s="20">
        <v>6.4825289610005097</v>
      </c>
      <c r="R142" s="312">
        <v>104</v>
      </c>
      <c r="S142" s="20">
        <v>3.3150783944403615</v>
      </c>
      <c r="T142" s="20">
        <v>4.9262189905902476</v>
      </c>
      <c r="U142" s="20">
        <v>6.7142857142857153</v>
      </c>
      <c r="V142" s="20">
        <v>4.8571428571428568</v>
      </c>
      <c r="W142" s="312">
        <v>103</v>
      </c>
      <c r="X142" s="313">
        <v>335</v>
      </c>
      <c r="Y142" s="236">
        <f t="shared" si="4"/>
        <v>16.028071951207711</v>
      </c>
      <c r="Z142" s="25"/>
      <c r="AA142" s="25"/>
      <c r="AB142" s="25"/>
      <c r="AC142" s="25"/>
      <c r="AD142" s="25"/>
      <c r="AE142" s="25"/>
      <c r="AF142" s="25"/>
      <c r="AG142" s="25"/>
      <c r="AH142" s="25"/>
      <c r="AI142" s="25"/>
      <c r="AJ142" s="25"/>
      <c r="AK142" s="25"/>
      <c r="AL142" s="25"/>
      <c r="AM142" s="25"/>
      <c r="AN142" s="25"/>
      <c r="AO142" s="25"/>
      <c r="AP142" s="25"/>
      <c r="AQ142" s="25"/>
      <c r="AR142" s="25"/>
      <c r="AS142" s="25"/>
      <c r="AT142" s="25"/>
      <c r="AU142" s="25"/>
      <c r="AV142" s="25"/>
      <c r="AW142" s="25"/>
    </row>
    <row r="143" spans="1:49" s="13" customFormat="1">
      <c r="A143" s="13">
        <v>142</v>
      </c>
      <c r="B143" s="13">
        <v>0</v>
      </c>
      <c r="C143" s="294" t="s">
        <v>608</v>
      </c>
      <c r="D143" s="294" t="s">
        <v>607</v>
      </c>
      <c r="E143" s="294" t="s">
        <v>111</v>
      </c>
      <c r="F143" s="294" t="s">
        <v>110</v>
      </c>
      <c r="G143" s="350">
        <v>1</v>
      </c>
      <c r="H143" s="351">
        <v>2</v>
      </c>
      <c r="I143">
        <v>1</v>
      </c>
      <c r="J143" s="13">
        <v>0</v>
      </c>
      <c r="K143" s="20">
        <v>7.7879436200205276</v>
      </c>
      <c r="L143" s="20">
        <v>7.121428571428571</v>
      </c>
      <c r="M143" s="20">
        <v>3.540749933343081</v>
      </c>
      <c r="N143" s="20">
        <v>6.2176304896372621</v>
      </c>
      <c r="O143" s="311">
        <v>23</v>
      </c>
      <c r="P143" s="20">
        <v>6.9874545454545451</v>
      </c>
      <c r="Q143" s="20">
        <v>7.0343206667925084</v>
      </c>
      <c r="R143" s="312">
        <v>63</v>
      </c>
      <c r="S143" s="20">
        <v>4.4370775447173711</v>
      </c>
      <c r="T143" s="20">
        <v>6.8167236954662105</v>
      </c>
      <c r="U143" s="20">
        <v>7.5</v>
      </c>
      <c r="V143" s="20">
        <v>7.1428571428571432</v>
      </c>
      <c r="W143" s="312">
        <v>36</v>
      </c>
      <c r="X143" s="313">
        <v>122</v>
      </c>
      <c r="Y143" s="236">
        <f t="shared" si="4"/>
        <v>19.675423416160051</v>
      </c>
      <c r="Z143" s="25"/>
      <c r="AA143" s="25"/>
      <c r="AB143" s="25"/>
      <c r="AC143" s="25"/>
      <c r="AD143" s="25"/>
      <c r="AE143" s="25"/>
      <c r="AF143" s="25"/>
      <c r="AG143" s="25"/>
      <c r="AH143" s="25"/>
      <c r="AI143" s="25"/>
      <c r="AJ143" s="25"/>
      <c r="AK143" s="25"/>
      <c r="AL143" s="25"/>
      <c r="AM143" s="25"/>
      <c r="AN143" s="25"/>
      <c r="AO143" s="25"/>
      <c r="AP143" s="25"/>
      <c r="AQ143" s="25"/>
      <c r="AR143" s="25"/>
      <c r="AS143" s="25"/>
      <c r="AT143" s="25"/>
      <c r="AU143" s="25"/>
      <c r="AV143" s="25"/>
      <c r="AW143" s="25"/>
    </row>
    <row r="144" spans="1:49" s="13" customFormat="1">
      <c r="A144" s="13">
        <v>143</v>
      </c>
      <c r="B144" s="13">
        <v>0</v>
      </c>
      <c r="C144" s="294" t="s">
        <v>404</v>
      </c>
      <c r="D144" s="294" t="s">
        <v>153</v>
      </c>
      <c r="E144" s="294" t="s">
        <v>119</v>
      </c>
      <c r="F144" s="294" t="s">
        <v>128</v>
      </c>
      <c r="G144" s="350"/>
      <c r="H144" s="351">
        <v>4</v>
      </c>
      <c r="I144">
        <v>0</v>
      </c>
      <c r="J144" s="13">
        <v>0</v>
      </c>
      <c r="K144" s="305">
        <v>8.3631381711712258</v>
      </c>
      <c r="L144" s="305">
        <v>1.4285714285714284</v>
      </c>
      <c r="M144" s="305">
        <v>9.5225085363860753</v>
      </c>
      <c r="N144" s="305">
        <v>4.9906301550915542</v>
      </c>
      <c r="O144" s="311">
        <v>28</v>
      </c>
      <c r="P144" s="305">
        <v>6.6125227272727276</v>
      </c>
      <c r="Q144" s="305">
        <v>1.200063130103594</v>
      </c>
      <c r="R144" s="312">
        <v>157</v>
      </c>
      <c r="S144" s="305">
        <v>2.9107987714963794</v>
      </c>
      <c r="T144" s="305">
        <v>2.8344739093242088</v>
      </c>
      <c r="U144" s="305">
        <v>4.2857142857142856</v>
      </c>
      <c r="V144" s="305">
        <v>3.5714285714285716</v>
      </c>
      <c r="W144" s="312">
        <v>146</v>
      </c>
      <c r="X144" s="313">
        <v>331</v>
      </c>
      <c r="Y144" s="236">
        <f t="shared" si="4"/>
        <v>10.676879087399527</v>
      </c>
      <c r="Z144" s="25"/>
      <c r="AA144" s="25"/>
      <c r="AB144" s="25"/>
      <c r="AC144" s="25"/>
      <c r="AD144" s="25"/>
      <c r="AE144" s="25"/>
      <c r="AF144" s="25"/>
      <c r="AG144" s="25"/>
      <c r="AH144" s="25"/>
      <c r="AI144" s="25"/>
      <c r="AJ144" s="25"/>
      <c r="AK144" s="25"/>
      <c r="AL144" s="25"/>
      <c r="AM144" s="25"/>
      <c r="AN144" s="25"/>
      <c r="AO144" s="25"/>
      <c r="AP144" s="25"/>
      <c r="AQ144" s="25"/>
      <c r="AR144" s="25"/>
      <c r="AS144" s="25"/>
      <c r="AT144" s="25"/>
      <c r="AU144" s="25"/>
      <c r="AV144" s="25"/>
      <c r="AW144" s="25"/>
    </row>
    <row r="145" spans="1:49" s="13" customFormat="1">
      <c r="A145" s="13">
        <v>145</v>
      </c>
      <c r="B145" s="13">
        <v>0</v>
      </c>
      <c r="C145" s="294" t="s">
        <v>462</v>
      </c>
      <c r="D145" s="294" t="s">
        <v>461</v>
      </c>
      <c r="E145" s="294" t="s">
        <v>115</v>
      </c>
      <c r="F145" s="294" t="s">
        <v>116</v>
      </c>
      <c r="G145" s="350">
        <v>3</v>
      </c>
      <c r="H145" s="351">
        <v>3</v>
      </c>
      <c r="I145">
        <v>0</v>
      </c>
      <c r="J145" s="13">
        <v>0</v>
      </c>
      <c r="K145" s="20">
        <v>7.968746111814883</v>
      </c>
      <c r="L145" s="20">
        <v>4.8190476190476188</v>
      </c>
      <c r="M145" s="20">
        <v>2.2377028735582751</v>
      </c>
      <c r="N145" s="20">
        <v>6.1362391182671825</v>
      </c>
      <c r="O145" s="311">
        <v>74</v>
      </c>
      <c r="P145" s="20">
        <v>6.655923553719008</v>
      </c>
      <c r="Q145" s="20">
        <v>7.1018925044497383</v>
      </c>
      <c r="R145" s="312">
        <v>70</v>
      </c>
      <c r="S145" s="20">
        <v>3.7408836415765614</v>
      </c>
      <c r="T145" s="20">
        <v>4.6720844026233248</v>
      </c>
      <c r="U145" s="20">
        <v>3.8095238095238093</v>
      </c>
      <c r="V145" s="20">
        <v>5.8571428571428559</v>
      </c>
      <c r="W145" s="312">
        <v>126</v>
      </c>
      <c r="X145" s="313">
        <v>270</v>
      </c>
      <c r="Y145" s="236">
        <f t="shared" si="4"/>
        <v>16.912235112838367</v>
      </c>
      <c r="Z145" s="25"/>
      <c r="AA145" s="25"/>
      <c r="AB145" s="25"/>
      <c r="AC145" s="25"/>
      <c r="AD145" s="25"/>
      <c r="AE145" s="25"/>
      <c r="AF145" s="25"/>
      <c r="AG145" s="25"/>
      <c r="AH145" s="25"/>
      <c r="AI145" s="25"/>
      <c r="AJ145" s="25"/>
      <c r="AK145" s="25"/>
      <c r="AL145" s="25"/>
      <c r="AM145" s="25"/>
      <c r="AN145" s="25"/>
      <c r="AO145" s="25"/>
      <c r="AP145" s="25"/>
      <c r="AQ145" s="25"/>
      <c r="AR145" s="25"/>
      <c r="AS145" s="25"/>
      <c r="AT145" s="25"/>
      <c r="AU145" s="25"/>
      <c r="AV145" s="25"/>
      <c r="AW145" s="25"/>
    </row>
    <row r="146" spans="1:49" s="13" customFormat="1">
      <c r="A146" s="13">
        <v>147</v>
      </c>
      <c r="B146" s="13">
        <v>0</v>
      </c>
      <c r="C146" s="294" t="s">
        <v>374</v>
      </c>
      <c r="D146" s="294" t="s">
        <v>373</v>
      </c>
      <c r="E146" s="294" t="s">
        <v>113</v>
      </c>
      <c r="F146" s="294" t="s">
        <v>114</v>
      </c>
      <c r="G146" s="350">
        <v>1</v>
      </c>
      <c r="H146" s="351">
        <v>2</v>
      </c>
      <c r="I146">
        <v>0</v>
      </c>
      <c r="J146" s="13">
        <v>0</v>
      </c>
      <c r="K146" s="305">
        <v>7.6346645620309648</v>
      </c>
      <c r="L146" s="305">
        <v>6.9404761904761898</v>
      </c>
      <c r="M146" s="305">
        <v>2.9925215237341636</v>
      </c>
      <c r="N146" s="305">
        <v>6.4534891408044608</v>
      </c>
      <c r="O146" s="311">
        <v>31</v>
      </c>
      <c r="P146" s="305">
        <v>7.3641342975206605</v>
      </c>
      <c r="Q146" s="305">
        <v>7.5851037756649111</v>
      </c>
      <c r="R146" s="312">
        <v>25</v>
      </c>
      <c r="S146" s="305">
        <v>2.484440024262224</v>
      </c>
      <c r="T146" s="305">
        <v>3.5952380952380958</v>
      </c>
      <c r="U146" s="305">
        <v>6.904761904761906</v>
      </c>
      <c r="V146" s="305">
        <v>5</v>
      </c>
      <c r="W146" s="312">
        <v>127</v>
      </c>
      <c r="X146" s="313">
        <v>183</v>
      </c>
      <c r="Y146" s="236">
        <f t="shared" si="4"/>
        <v>18.086501635991915</v>
      </c>
      <c r="Z146" s="25"/>
      <c r="AA146" s="25"/>
      <c r="AB146" s="25"/>
      <c r="AC146" s="25"/>
      <c r="AD146" s="25"/>
      <c r="AE146" s="25"/>
      <c r="AF146" s="25"/>
      <c r="AG146" s="25"/>
      <c r="AH146" s="25"/>
      <c r="AI146" s="25"/>
      <c r="AJ146" s="25"/>
      <c r="AK146" s="25"/>
      <c r="AL146" s="25"/>
      <c r="AM146" s="25"/>
      <c r="AN146" s="25"/>
      <c r="AO146" s="25"/>
      <c r="AP146" s="25"/>
      <c r="AQ146" s="25"/>
      <c r="AR146" s="25"/>
      <c r="AS146" s="25"/>
      <c r="AT146" s="25"/>
      <c r="AU146" s="25"/>
      <c r="AV146" s="25"/>
      <c r="AW146" s="25"/>
    </row>
    <row r="147" spans="1:49" s="13" customFormat="1">
      <c r="A147" s="13">
        <v>148</v>
      </c>
      <c r="B147" s="13">
        <v>0</v>
      </c>
      <c r="C147" s="294" t="s">
        <v>154</v>
      </c>
      <c r="D147" s="294" t="s">
        <v>599</v>
      </c>
      <c r="E147" s="294" t="s">
        <v>111</v>
      </c>
      <c r="F147" s="294" t="s">
        <v>110</v>
      </c>
      <c r="G147" s="350">
        <v>2</v>
      </c>
      <c r="H147" s="351">
        <v>2</v>
      </c>
      <c r="I147">
        <v>0</v>
      </c>
      <c r="J147" s="13">
        <v>0</v>
      </c>
      <c r="K147" s="20">
        <v>7.7757180385034745</v>
      </c>
      <c r="L147" s="20">
        <v>6.3285714285714292</v>
      </c>
      <c r="M147" s="20">
        <v>3.9627971178408323</v>
      </c>
      <c r="N147" s="20">
        <v>6.336002955374834</v>
      </c>
      <c r="O147" s="311">
        <v>27</v>
      </c>
      <c r="P147" s="20">
        <v>7.2943842975206614</v>
      </c>
      <c r="Q147" s="20">
        <v>7.3200537200565883</v>
      </c>
      <c r="R147" s="312">
        <v>34</v>
      </c>
      <c r="S147" s="20">
        <v>3.8287715618402878</v>
      </c>
      <c r="T147" s="20">
        <v>5.6941830624465357</v>
      </c>
      <c r="U147" s="20">
        <v>8.2857142857142847</v>
      </c>
      <c r="V147" s="20">
        <v>8.8571428571428577</v>
      </c>
      <c r="W147" s="312">
        <v>27</v>
      </c>
      <c r="X147" s="313">
        <v>88</v>
      </c>
      <c r="Y147" s="236">
        <f t="shared" si="4"/>
        <v>20.087279046915221</v>
      </c>
      <c r="Z147" s="25"/>
      <c r="AA147" s="25"/>
      <c r="AB147" s="25"/>
      <c r="AC147" s="25"/>
      <c r="AD147" s="25"/>
      <c r="AE147" s="25"/>
      <c r="AF147" s="25"/>
      <c r="AG147" s="25"/>
      <c r="AH147" s="25"/>
      <c r="AI147" s="25"/>
      <c r="AJ147" s="25"/>
      <c r="AK147" s="25"/>
      <c r="AL147" s="25"/>
      <c r="AM147" s="25"/>
      <c r="AN147" s="25"/>
      <c r="AO147" s="25"/>
      <c r="AP147" s="25"/>
      <c r="AQ147" s="25"/>
      <c r="AR147" s="25"/>
      <c r="AS147" s="25"/>
      <c r="AT147" s="25"/>
      <c r="AU147" s="25"/>
      <c r="AV147" s="25"/>
      <c r="AW147" s="25"/>
    </row>
    <row r="148" spans="1:49" s="13" customFormat="1">
      <c r="A148" s="13">
        <v>149</v>
      </c>
      <c r="B148" s="13">
        <v>0</v>
      </c>
      <c r="C148" s="294" t="s">
        <v>626</v>
      </c>
      <c r="D148" s="294" t="s">
        <v>155</v>
      </c>
      <c r="E148" s="294" t="s">
        <v>109</v>
      </c>
      <c r="F148" s="294" t="s">
        <v>117</v>
      </c>
      <c r="G148" s="350">
        <v>2</v>
      </c>
      <c r="H148" s="351">
        <v>2</v>
      </c>
      <c r="I148">
        <v>0</v>
      </c>
      <c r="J148" s="13">
        <v>0</v>
      </c>
      <c r="K148" s="305">
        <v>8.4066697599513525</v>
      </c>
      <c r="L148" s="305">
        <v>4.7728571428571422</v>
      </c>
      <c r="M148" s="305">
        <v>6.04332796494276</v>
      </c>
      <c r="N148" s="305">
        <v>7.7280157261511029</v>
      </c>
      <c r="O148" s="311">
        <v>5</v>
      </c>
      <c r="P148" s="305">
        <v>7.1458842975206611</v>
      </c>
      <c r="Q148" s="305">
        <v>6.0804682737791271</v>
      </c>
      <c r="R148" s="312">
        <v>90</v>
      </c>
      <c r="S148" s="305">
        <v>3.4592736420743138</v>
      </c>
      <c r="T148" s="305">
        <v>7.4057599087539208</v>
      </c>
      <c r="U148" s="305">
        <v>7.5714285714285712</v>
      </c>
      <c r="V148" s="305">
        <v>8.8095238095238084</v>
      </c>
      <c r="W148" s="312">
        <v>21</v>
      </c>
      <c r="X148" s="313">
        <v>116</v>
      </c>
      <c r="Y148" s="236">
        <f t="shared" si="4"/>
        <v>19.629682405199869</v>
      </c>
      <c r="Z148" s="25"/>
      <c r="AA148" s="25"/>
      <c r="AB148" s="25"/>
      <c r="AC148" s="25"/>
      <c r="AD148" s="25"/>
      <c r="AE148" s="25"/>
      <c r="AF148" s="25"/>
      <c r="AG148" s="25"/>
      <c r="AH148" s="25"/>
      <c r="AI148" s="25"/>
      <c r="AJ148" s="25"/>
      <c r="AK148" s="25"/>
      <c r="AL148" s="25"/>
      <c r="AM148" s="25"/>
      <c r="AN148" s="25"/>
      <c r="AO148" s="25"/>
      <c r="AP148" s="25"/>
      <c r="AQ148" s="25"/>
      <c r="AR148" s="25"/>
      <c r="AS148" s="25"/>
      <c r="AT148" s="25"/>
      <c r="AU148" s="25"/>
      <c r="AV148" s="25"/>
      <c r="AW148" s="25"/>
    </row>
    <row r="149" spans="1:49" s="13" customFormat="1">
      <c r="A149" s="13">
        <v>150</v>
      </c>
      <c r="B149" s="13">
        <v>0</v>
      </c>
      <c r="C149" s="294" t="s">
        <v>648</v>
      </c>
      <c r="D149" s="294" t="s">
        <v>647</v>
      </c>
      <c r="E149" s="294" t="s">
        <v>107</v>
      </c>
      <c r="F149" s="294" t="s">
        <v>121</v>
      </c>
      <c r="G149" s="350">
        <v>4</v>
      </c>
      <c r="H149" s="351">
        <v>3</v>
      </c>
      <c r="I149">
        <v>0</v>
      </c>
      <c r="J149" s="13">
        <v>0</v>
      </c>
      <c r="K149" s="20">
        <v>5.8114196543534042</v>
      </c>
      <c r="L149" s="20">
        <v>5.1595238095238098</v>
      </c>
      <c r="M149" s="20">
        <v>2.4213534364867071</v>
      </c>
      <c r="N149" s="20">
        <v>5.0959606720563508</v>
      </c>
      <c r="O149" s="311">
        <v>123</v>
      </c>
      <c r="P149" s="20">
        <v>9.880749999999999</v>
      </c>
      <c r="Q149" s="20">
        <v>6.4205193456738767</v>
      </c>
      <c r="R149" s="312">
        <v>2</v>
      </c>
      <c r="S149" s="20">
        <v>2.4829322762003296</v>
      </c>
      <c r="T149" s="20">
        <v>4.6688052466495575</v>
      </c>
      <c r="U149" s="20">
        <v>9.0476190476190492</v>
      </c>
      <c r="V149" s="20">
        <v>9.7619047619047628</v>
      </c>
      <c r="W149" s="312">
        <v>34</v>
      </c>
      <c r="X149" s="313">
        <v>159</v>
      </c>
      <c r="Y149" s="236">
        <f t="shared" si="4"/>
        <v>17.532899071872368</v>
      </c>
      <c r="Z149" s="25"/>
      <c r="AA149" s="25"/>
      <c r="AB149" s="25"/>
      <c r="AC149" s="25"/>
      <c r="AD149" s="25"/>
      <c r="AE149" s="25"/>
      <c r="AF149" s="25"/>
      <c r="AG149" s="25"/>
      <c r="AH149" s="25"/>
      <c r="AI149" s="25"/>
      <c r="AJ149" s="25"/>
      <c r="AK149" s="25"/>
      <c r="AL149" s="25"/>
      <c r="AM149" s="25"/>
      <c r="AN149" s="25"/>
      <c r="AO149" s="25"/>
      <c r="AP149" s="25"/>
      <c r="AQ149" s="25"/>
      <c r="AR149" s="25"/>
      <c r="AS149" s="25"/>
      <c r="AT149" s="25"/>
      <c r="AU149" s="25"/>
      <c r="AV149" s="25"/>
      <c r="AW149" s="25"/>
    </row>
    <row r="150" spans="1:49" s="13" customFormat="1">
      <c r="A150" s="13">
        <v>151</v>
      </c>
      <c r="B150" s="13">
        <v>0</v>
      </c>
      <c r="C150" s="294" t="s">
        <v>368</v>
      </c>
      <c r="D150" s="294" t="s">
        <v>367</v>
      </c>
      <c r="E150" s="294" t="s">
        <v>113</v>
      </c>
      <c r="F150" s="294" t="s">
        <v>114</v>
      </c>
      <c r="G150" s="350">
        <v>2</v>
      </c>
      <c r="H150" s="351">
        <v>2</v>
      </c>
      <c r="I150">
        <v>0</v>
      </c>
      <c r="J150" s="13">
        <v>0</v>
      </c>
      <c r="K150" s="20">
        <v>7.9172325355165523</v>
      </c>
      <c r="L150" s="20">
        <v>5.5</v>
      </c>
      <c r="M150" s="20">
        <v>2.788654562343571</v>
      </c>
      <c r="N150" s="20">
        <v>6.6774451268306736</v>
      </c>
      <c r="O150" s="311">
        <v>45</v>
      </c>
      <c r="P150" s="20">
        <v>7.3191342975206606</v>
      </c>
      <c r="Q150" s="20">
        <v>7.4333382538488744</v>
      </c>
      <c r="R150" s="312">
        <v>32</v>
      </c>
      <c r="S150" s="20">
        <v>3.3708830259980722</v>
      </c>
      <c r="T150" s="20">
        <v>6.3282720273738242</v>
      </c>
      <c r="U150" s="20">
        <v>5.7142857142857135</v>
      </c>
      <c r="V150" s="20">
        <v>5.3571428571428568</v>
      </c>
      <c r="W150" s="312">
        <v>92</v>
      </c>
      <c r="X150" s="313">
        <v>169</v>
      </c>
      <c r="Y150" s="236">
        <f t="shared" si="4"/>
        <v>18.346817216221687</v>
      </c>
      <c r="Z150" s="25"/>
      <c r="AA150" s="25"/>
      <c r="AB150" s="25"/>
      <c r="AC150" s="25"/>
      <c r="AD150" s="25"/>
      <c r="AE150" s="25"/>
      <c r="AF150" s="25"/>
      <c r="AG150" s="25"/>
      <c r="AH150" s="25"/>
      <c r="AI150" s="25"/>
      <c r="AJ150" s="25"/>
      <c r="AK150" s="25"/>
      <c r="AL150" s="25"/>
      <c r="AM150" s="25"/>
      <c r="AN150" s="25"/>
      <c r="AO150" s="25"/>
      <c r="AP150" s="25"/>
      <c r="AQ150" s="25"/>
      <c r="AR150" s="25"/>
      <c r="AS150" s="25"/>
      <c r="AT150" s="25"/>
      <c r="AU150" s="25"/>
      <c r="AV150" s="25"/>
      <c r="AW150" s="25"/>
    </row>
    <row r="151" spans="1:49" s="13" customFormat="1">
      <c r="A151" s="13">
        <v>152</v>
      </c>
      <c r="B151" s="13">
        <v>0</v>
      </c>
      <c r="C151" s="294" t="s">
        <v>294</v>
      </c>
      <c r="D151" s="294" t="s">
        <v>293</v>
      </c>
      <c r="E151" s="294" t="s">
        <v>113</v>
      </c>
      <c r="F151" s="294" t="s">
        <v>134</v>
      </c>
      <c r="G151" s="350">
        <v>4</v>
      </c>
      <c r="H151" s="351">
        <v>3</v>
      </c>
      <c r="I151">
        <v>0</v>
      </c>
      <c r="J151" s="13">
        <v>0</v>
      </c>
      <c r="K151" s="20">
        <v>6.1136870813536914</v>
      </c>
      <c r="L151" s="20">
        <v>3.7835714285714284</v>
      </c>
      <c r="M151" s="20">
        <v>1.3612310457825523</v>
      </c>
      <c r="N151" s="20">
        <v>4.9161545258850072</v>
      </c>
      <c r="O151" s="311">
        <v>148</v>
      </c>
      <c r="P151" s="20">
        <v>6.9608636363636371</v>
      </c>
      <c r="Q151" s="20">
        <v>5.7916624956454639</v>
      </c>
      <c r="R151" s="312">
        <v>116</v>
      </c>
      <c r="S151" s="20">
        <v>2.5362888779610011</v>
      </c>
      <c r="T151" s="20">
        <v>4.7848588537211292</v>
      </c>
      <c r="U151" s="20">
        <v>5.7142857142857135</v>
      </c>
      <c r="V151" s="20">
        <v>5.7142857142857135</v>
      </c>
      <c r="W151" s="312">
        <v>118</v>
      </c>
      <c r="X151" s="313">
        <v>382</v>
      </c>
      <c r="Y151" s="236">
        <f t="shared" si="4"/>
        <v>14.522753306107022</v>
      </c>
      <c r="Z151" s="25"/>
      <c r="AA151" s="25"/>
      <c r="AB151" s="25"/>
      <c r="AC151" s="25"/>
      <c r="AD151" s="25"/>
      <c r="AE151" s="25"/>
      <c r="AF151" s="25"/>
      <c r="AG151" s="25"/>
      <c r="AH151" s="25"/>
      <c r="AI151" s="25"/>
      <c r="AJ151" s="25"/>
      <c r="AK151" s="25"/>
      <c r="AL151" s="25"/>
      <c r="AM151" s="25"/>
      <c r="AN151" s="25"/>
      <c r="AO151" s="25"/>
      <c r="AP151" s="25"/>
      <c r="AQ151" s="25"/>
      <c r="AR151" s="25"/>
      <c r="AS151" s="25"/>
      <c r="AT151" s="25"/>
      <c r="AU151" s="25"/>
      <c r="AV151" s="25"/>
      <c r="AW151" s="25"/>
    </row>
    <row r="152" spans="1:49" s="13" customFormat="1">
      <c r="A152" s="13">
        <v>153</v>
      </c>
      <c r="B152" s="13">
        <v>0</v>
      </c>
      <c r="C152" s="294" t="s">
        <v>434</v>
      </c>
      <c r="D152" s="294" t="s">
        <v>433</v>
      </c>
      <c r="E152" s="294" t="s">
        <v>107</v>
      </c>
      <c r="F152" s="294" t="s">
        <v>122</v>
      </c>
      <c r="G152" s="350">
        <v>4</v>
      </c>
      <c r="H152" s="351">
        <v>3</v>
      </c>
      <c r="I152">
        <v>0</v>
      </c>
      <c r="J152" s="13">
        <v>0</v>
      </c>
      <c r="K152" s="20">
        <v>6.2091395995849394</v>
      </c>
      <c r="L152" s="20">
        <v>5.5095238095238095</v>
      </c>
      <c r="M152" s="20">
        <v>1.4786138801207565</v>
      </c>
      <c r="N152" s="20">
        <v>5.9864967201187778</v>
      </c>
      <c r="O152" s="311">
        <v>114</v>
      </c>
      <c r="P152" s="20">
        <v>7.1016838842975201</v>
      </c>
      <c r="Q152" s="20">
        <v>6.6342487878032967</v>
      </c>
      <c r="R152" s="312">
        <v>71</v>
      </c>
      <c r="S152" s="20">
        <v>3.3117816334121031</v>
      </c>
      <c r="T152" s="20">
        <v>5.6120615911035072</v>
      </c>
      <c r="U152" s="20">
        <v>7.6190476190476186</v>
      </c>
      <c r="V152" s="20">
        <v>8.0952380952380949</v>
      </c>
      <c r="W152" s="312">
        <v>46</v>
      </c>
      <c r="X152" s="313">
        <v>231</v>
      </c>
      <c r="Y152" s="236">
        <f t="shared" si="4"/>
        <v>17.589724524840697</v>
      </c>
      <c r="Z152" s="25"/>
      <c r="AA152" s="25"/>
      <c r="AB152" s="25"/>
      <c r="AC152" s="25"/>
      <c r="AD152" s="25"/>
      <c r="AE152" s="25"/>
      <c r="AF152" s="25"/>
      <c r="AG152" s="25"/>
      <c r="AH152" s="25"/>
      <c r="AI152" s="25"/>
      <c r="AJ152" s="25"/>
      <c r="AK152" s="25"/>
      <c r="AL152" s="25"/>
      <c r="AM152" s="25"/>
      <c r="AN152" s="25"/>
      <c r="AO152" s="25"/>
      <c r="AP152" s="25"/>
      <c r="AQ152" s="25"/>
      <c r="AR152" s="25"/>
      <c r="AS152" s="25"/>
      <c r="AT152" s="25"/>
      <c r="AU152" s="25"/>
      <c r="AV152" s="25"/>
      <c r="AW152" s="25"/>
    </row>
    <row r="153" spans="1:49" s="13" customFormat="1">
      <c r="A153" s="13">
        <v>154</v>
      </c>
      <c r="B153" s="13">
        <v>0</v>
      </c>
      <c r="C153" s="294" t="s">
        <v>618</v>
      </c>
      <c r="D153" s="294" t="s">
        <v>617</v>
      </c>
      <c r="E153" s="294" t="s">
        <v>119</v>
      </c>
      <c r="F153" s="294" t="s">
        <v>125</v>
      </c>
      <c r="G153" s="350">
        <v>1</v>
      </c>
      <c r="H153" s="351">
        <v>2</v>
      </c>
      <c r="I153">
        <v>0</v>
      </c>
      <c r="J153" s="13">
        <v>0</v>
      </c>
      <c r="K153" s="20">
        <v>8.030971837434981</v>
      </c>
      <c r="L153" s="20">
        <v>9.5285714285714285</v>
      </c>
      <c r="M153" s="20">
        <v>3.4130664763002398</v>
      </c>
      <c r="N153" s="20">
        <v>4.9494544047237223</v>
      </c>
      <c r="O153" s="311">
        <v>11</v>
      </c>
      <c r="P153" s="20">
        <v>7.0738842975206602</v>
      </c>
      <c r="Q153" s="20">
        <v>9.7126391402420023</v>
      </c>
      <c r="R153" s="312">
        <v>1</v>
      </c>
      <c r="S153" s="20">
        <v>3.6273363218453922</v>
      </c>
      <c r="T153" s="20">
        <v>4.6849871685201023</v>
      </c>
      <c r="U153" s="20">
        <v>7.2857142857142856</v>
      </c>
      <c r="V153" s="20">
        <v>5.1428571428571432</v>
      </c>
      <c r="W153" s="312">
        <v>93</v>
      </c>
      <c r="X153" s="313">
        <v>105</v>
      </c>
      <c r="Y153" s="236">
        <f t="shared" si="4"/>
        <v>21.378378906733825</v>
      </c>
      <c r="Z153" s="25"/>
      <c r="AA153" s="25"/>
      <c r="AB153" s="25"/>
      <c r="AC153" s="25"/>
      <c r="AD153" s="25"/>
      <c r="AE153" s="25"/>
      <c r="AF153" s="25"/>
      <c r="AG153" s="25"/>
      <c r="AH153" s="25"/>
      <c r="AI153" s="25"/>
      <c r="AJ153" s="25"/>
      <c r="AK153" s="25"/>
      <c r="AL153" s="25"/>
      <c r="AM153" s="25"/>
      <c r="AN153" s="25"/>
      <c r="AO153" s="25"/>
      <c r="AP153" s="25"/>
      <c r="AQ153" s="25"/>
      <c r="AR153" s="25"/>
      <c r="AS153" s="25"/>
      <c r="AT153" s="25"/>
      <c r="AU153" s="25"/>
      <c r="AV153" s="25"/>
      <c r="AW153" s="25"/>
    </row>
    <row r="154" spans="1:49" s="13" customFormat="1">
      <c r="A154" s="13">
        <v>155</v>
      </c>
      <c r="B154" s="13">
        <v>0</v>
      </c>
      <c r="C154" s="294" t="s">
        <v>243</v>
      </c>
      <c r="D154" s="294" t="s">
        <v>242</v>
      </c>
      <c r="E154" s="294" t="s">
        <v>119</v>
      </c>
      <c r="F154" s="294" t="s">
        <v>136</v>
      </c>
      <c r="G154" s="350">
        <v>3</v>
      </c>
      <c r="H154" s="351">
        <v>3</v>
      </c>
      <c r="I154">
        <v>0</v>
      </c>
      <c r="J154" s="13">
        <v>0</v>
      </c>
      <c r="K154" s="305">
        <v>6.3991549990055443</v>
      </c>
      <c r="L154" s="305">
        <v>5.0214285714285714</v>
      </c>
      <c r="M154" s="305">
        <v>2.3295281550224911</v>
      </c>
      <c r="N154" s="305">
        <v>5.3238223356479617</v>
      </c>
      <c r="O154" s="311">
        <v>115</v>
      </c>
      <c r="P154" s="305">
        <v>6.6059028925619829</v>
      </c>
      <c r="Q154" s="305">
        <v>5.6049748882130661</v>
      </c>
      <c r="R154" s="312">
        <v>128</v>
      </c>
      <c r="S154" s="305">
        <v>3.9579586769629209</v>
      </c>
      <c r="T154" s="305">
        <v>4.1911890504704878</v>
      </c>
      <c r="U154" s="305">
        <v>7.5</v>
      </c>
      <c r="V154" s="305">
        <v>7.1428571428571432</v>
      </c>
      <c r="W154" s="312">
        <v>70</v>
      </c>
      <c r="X154" s="313">
        <v>313</v>
      </c>
      <c r="Y154" s="236">
        <f t="shared" si="4"/>
        <v>16.071459621061845</v>
      </c>
      <c r="Z154" s="25"/>
      <c r="AA154" s="25"/>
      <c r="AB154" s="25"/>
      <c r="AC154" s="25"/>
      <c r="AD154" s="25"/>
      <c r="AE154" s="25"/>
      <c r="AF154" s="25"/>
      <c r="AG154" s="25"/>
      <c r="AH154" s="25"/>
      <c r="AI154" s="25"/>
      <c r="AJ154" s="25"/>
      <c r="AK154" s="25"/>
      <c r="AL154" s="25"/>
      <c r="AM154" s="25"/>
      <c r="AN154" s="25"/>
      <c r="AO154" s="25"/>
      <c r="AP154" s="25"/>
      <c r="AQ154" s="25"/>
      <c r="AR154" s="25"/>
      <c r="AS154" s="25"/>
      <c r="AT154" s="25"/>
      <c r="AU154" s="25"/>
      <c r="AV154" s="25"/>
      <c r="AW154" s="25"/>
    </row>
    <row r="155" spans="1:49" s="13" customFormat="1">
      <c r="A155" s="13">
        <v>156</v>
      </c>
      <c r="B155" s="13">
        <v>0</v>
      </c>
      <c r="C155" s="294" t="s">
        <v>307</v>
      </c>
      <c r="D155" s="294" t="s">
        <v>306</v>
      </c>
      <c r="E155" s="294" t="s">
        <v>107</v>
      </c>
      <c r="F155" s="294" t="s">
        <v>122</v>
      </c>
      <c r="G155" s="350">
        <v>4</v>
      </c>
      <c r="H155" s="351">
        <v>3</v>
      </c>
      <c r="I155">
        <v>0</v>
      </c>
      <c r="J155" s="13">
        <v>0</v>
      </c>
      <c r="K155" s="20">
        <v>4.5801939593522931</v>
      </c>
      <c r="L155" s="20">
        <v>3.45</v>
      </c>
      <c r="M155" s="20">
        <v>1.6867511847729793</v>
      </c>
      <c r="N155" s="20">
        <v>4.4249468575935396</v>
      </c>
      <c r="O155" s="311">
        <v>164</v>
      </c>
      <c r="P155" s="20">
        <v>6.8743037190082648</v>
      </c>
      <c r="Q155" s="20">
        <v>5.7852658763399232</v>
      </c>
      <c r="R155" s="312">
        <v>122</v>
      </c>
      <c r="S155" s="20">
        <v>2.5362950192282869</v>
      </c>
      <c r="T155" s="20">
        <v>3.1796407185628741</v>
      </c>
      <c r="U155" s="20">
        <v>2.8571428571428568</v>
      </c>
      <c r="V155" s="20">
        <v>4.2857142857142856</v>
      </c>
      <c r="W155" s="312">
        <v>153</v>
      </c>
      <c r="X155" s="313">
        <v>439</v>
      </c>
      <c r="Y155" s="236">
        <f t="shared" si="4"/>
        <v>12.535437096931702</v>
      </c>
      <c r="Z155" s="25"/>
      <c r="AA155" s="25"/>
      <c r="AB155" s="25"/>
      <c r="AC155" s="25"/>
      <c r="AD155" s="25"/>
      <c r="AE155" s="25"/>
      <c r="AF155" s="25"/>
      <c r="AG155" s="25"/>
      <c r="AH155" s="25"/>
      <c r="AI155" s="25"/>
      <c r="AJ155" s="25"/>
      <c r="AK155" s="25"/>
      <c r="AL155" s="25"/>
      <c r="AM155" s="25"/>
      <c r="AN155" s="25"/>
      <c r="AO155" s="25"/>
      <c r="AP155" s="25"/>
      <c r="AQ155" s="25"/>
      <c r="AR155" s="25"/>
      <c r="AS155" s="25"/>
      <c r="AT155" s="25"/>
      <c r="AU155" s="25"/>
      <c r="AV155" s="25"/>
      <c r="AW155" s="25"/>
    </row>
    <row r="156" spans="1:49" s="13" customFormat="1">
      <c r="A156" s="13">
        <v>157</v>
      </c>
      <c r="B156" s="13">
        <v>0</v>
      </c>
      <c r="C156" s="294" t="s">
        <v>444</v>
      </c>
      <c r="D156" s="294" t="s">
        <v>443</v>
      </c>
      <c r="E156" s="294" t="s">
        <v>115</v>
      </c>
      <c r="F156" s="294" t="s">
        <v>124</v>
      </c>
      <c r="G156" s="350">
        <v>3</v>
      </c>
      <c r="H156" s="351">
        <v>3</v>
      </c>
      <c r="I156">
        <v>0</v>
      </c>
      <c r="J156" s="13">
        <v>0</v>
      </c>
      <c r="K156" s="20">
        <v>7.9323048107898639</v>
      </c>
      <c r="L156" s="20">
        <v>5.4321428571428569</v>
      </c>
      <c r="M156" s="20">
        <v>1.8926565577506944</v>
      </c>
      <c r="N156" s="20">
        <v>5.8018099434107775</v>
      </c>
      <c r="O156" s="311">
        <v>79</v>
      </c>
      <c r="P156" s="20">
        <v>6.6059028925619829</v>
      </c>
      <c r="Q156" s="20">
        <v>7.9785152742439012</v>
      </c>
      <c r="R156" s="312">
        <v>36</v>
      </c>
      <c r="S156" s="20">
        <v>4.1522882593083548</v>
      </c>
      <c r="T156" s="20">
        <v>4.7447604790419167</v>
      </c>
      <c r="U156" s="20">
        <v>3.0357142857142856</v>
      </c>
      <c r="V156" s="20">
        <v>7.5</v>
      </c>
      <c r="W156" s="312">
        <v>107</v>
      </c>
      <c r="X156" s="313">
        <v>222</v>
      </c>
      <c r="Y156" s="236">
        <f t="shared" si="4"/>
        <v>18.101434572533588</v>
      </c>
      <c r="Z156" s="25"/>
      <c r="AA156" s="25"/>
      <c r="AB156" s="25"/>
      <c r="AC156" s="25"/>
      <c r="AD156" s="25"/>
      <c r="AE156" s="25"/>
      <c r="AF156" s="25"/>
      <c r="AG156" s="25"/>
      <c r="AH156" s="25"/>
      <c r="AI156" s="25"/>
      <c r="AJ156" s="25"/>
      <c r="AK156" s="25"/>
      <c r="AL156" s="25"/>
      <c r="AM156" s="25"/>
      <c r="AN156" s="25"/>
      <c r="AO156" s="25"/>
      <c r="AP156" s="25"/>
      <c r="AQ156" s="25"/>
      <c r="AR156" s="25"/>
      <c r="AS156" s="25"/>
      <c r="AT156" s="25"/>
      <c r="AU156" s="25"/>
      <c r="AV156" s="25"/>
      <c r="AW156" s="25"/>
    </row>
    <row r="157" spans="1:49" s="13" customFormat="1">
      <c r="A157" s="13">
        <v>158</v>
      </c>
      <c r="B157" s="13">
        <v>0</v>
      </c>
      <c r="C157" s="294" t="s">
        <v>253</v>
      </c>
      <c r="D157" s="294" t="s">
        <v>252</v>
      </c>
      <c r="E157" s="294" t="s">
        <v>111</v>
      </c>
      <c r="F157" s="294" t="s">
        <v>112</v>
      </c>
      <c r="G157" s="350"/>
      <c r="H157" s="351">
        <v>2</v>
      </c>
      <c r="I157">
        <v>0</v>
      </c>
      <c r="J157" s="13">
        <v>0</v>
      </c>
      <c r="K157" s="20">
        <v>8.5432294081068552</v>
      </c>
      <c r="L157" s="20">
        <v>2.8571428571428568</v>
      </c>
      <c r="M157" s="20">
        <v>1.44188376753507</v>
      </c>
      <c r="N157" s="20">
        <v>5.6018194016576732</v>
      </c>
      <c r="O157" s="311">
        <v>126</v>
      </c>
      <c r="P157" s="20">
        <v>1</v>
      </c>
      <c r="Q157" s="20">
        <v>1</v>
      </c>
      <c r="R157" s="312">
        <v>166</v>
      </c>
      <c r="S157" s="20">
        <v>1</v>
      </c>
      <c r="T157" s="20">
        <v>1</v>
      </c>
      <c r="U157" s="20">
        <v>5.7142857142857135</v>
      </c>
      <c r="V157" s="20">
        <v>5.7142857142857135</v>
      </c>
      <c r="W157" s="312">
        <v>149</v>
      </c>
      <c r="X157" s="313">
        <v>441</v>
      </c>
      <c r="Y157" s="236">
        <f t="shared" si="4"/>
        <v>8.968161715753471</v>
      </c>
      <c r="Z157" s="25"/>
      <c r="AA157" s="25"/>
      <c r="AB157" s="25"/>
      <c r="AC157" s="25"/>
      <c r="AD157" s="25"/>
      <c r="AE157" s="25"/>
      <c r="AF157" s="25"/>
      <c r="AG157" s="25"/>
      <c r="AH157" s="25"/>
      <c r="AI157" s="25"/>
      <c r="AJ157" s="25"/>
      <c r="AK157" s="25"/>
      <c r="AL157" s="25"/>
      <c r="AM157" s="25"/>
      <c r="AN157" s="25"/>
      <c r="AO157" s="25"/>
      <c r="AP157" s="25"/>
      <c r="AQ157" s="25"/>
      <c r="AR157" s="25"/>
      <c r="AS157" s="25"/>
      <c r="AT157" s="25"/>
      <c r="AU157" s="25"/>
      <c r="AV157" s="25"/>
      <c r="AW157" s="25"/>
    </row>
    <row r="158" spans="1:49" s="13" customFormat="1">
      <c r="A158" s="13">
        <v>159</v>
      </c>
      <c r="B158" s="13">
        <v>0</v>
      </c>
      <c r="C158" s="294" t="s">
        <v>269</v>
      </c>
      <c r="D158" s="294" t="s">
        <v>268</v>
      </c>
      <c r="E158" s="294" t="s">
        <v>107</v>
      </c>
      <c r="F158" s="294" t="s">
        <v>121</v>
      </c>
      <c r="G158" s="350"/>
      <c r="H158" s="351">
        <v>4</v>
      </c>
      <c r="I158">
        <v>0</v>
      </c>
      <c r="J158" s="13">
        <v>0</v>
      </c>
      <c r="K158" s="20">
        <v>5.9887635910470234</v>
      </c>
      <c r="L158" s="20">
        <v>1.0142857142857142</v>
      </c>
      <c r="M158" s="20">
        <v>1.44188376753507</v>
      </c>
      <c r="N158" s="20">
        <v>5.2780056598666807</v>
      </c>
      <c r="O158" s="298">
        <v>166</v>
      </c>
      <c r="P158" s="20">
        <v>6.8639834710743797</v>
      </c>
      <c r="Q158" s="20">
        <v>7.630933950738612</v>
      </c>
      <c r="R158" s="312">
        <v>38</v>
      </c>
      <c r="S158" s="20">
        <v>1.0892387558436618</v>
      </c>
      <c r="T158" s="20">
        <v>3.3706159110350722</v>
      </c>
      <c r="U158" s="20">
        <v>1.4285714285714284</v>
      </c>
      <c r="V158" s="20">
        <v>1.4285714285714284</v>
      </c>
      <c r="W158" s="312">
        <v>161</v>
      </c>
      <c r="X158" s="313">
        <v>365</v>
      </c>
      <c r="Y158" s="236">
        <f t="shared" si="4"/>
        <v>12.890918014927632</v>
      </c>
      <c r="Z158" s="25"/>
      <c r="AA158" s="25"/>
      <c r="AB158" s="25"/>
      <c r="AC158" s="25"/>
      <c r="AD158" s="25"/>
      <c r="AE158" s="25"/>
      <c r="AF158" s="25"/>
      <c r="AG158" s="25"/>
      <c r="AH158" s="25"/>
      <c r="AI158" s="25"/>
      <c r="AJ158" s="25"/>
      <c r="AK158" s="25"/>
      <c r="AL158" s="25"/>
      <c r="AM158" s="25"/>
      <c r="AN158" s="25"/>
      <c r="AO158" s="25"/>
      <c r="AP158" s="25"/>
      <c r="AQ158" s="25"/>
      <c r="AR158" s="25"/>
      <c r="AS158" s="25"/>
      <c r="AT158" s="25"/>
      <c r="AU158" s="25"/>
      <c r="AV158" s="25"/>
      <c r="AW158" s="25"/>
    </row>
    <row r="159" spans="1:49" s="13" customFormat="1">
      <c r="A159" s="13">
        <v>161</v>
      </c>
      <c r="B159" s="13">
        <v>0</v>
      </c>
      <c r="C159" s="8" t="s">
        <v>456</v>
      </c>
      <c r="D159" s="294" t="s">
        <v>156</v>
      </c>
      <c r="E159" s="294" t="s">
        <v>109</v>
      </c>
      <c r="F159" s="294" t="s">
        <v>110</v>
      </c>
      <c r="G159" s="350">
        <v>2</v>
      </c>
      <c r="H159" s="353">
        <v>2</v>
      </c>
      <c r="I159">
        <v>0</v>
      </c>
      <c r="J159" s="13">
        <v>0</v>
      </c>
      <c r="K159" s="20">
        <v>6.7450604306913675</v>
      </c>
      <c r="L159" s="20">
        <v>1</v>
      </c>
      <c r="M159" s="20">
        <v>3.1994889994581435</v>
      </c>
      <c r="N159" s="20">
        <v>5.9114783674115863</v>
      </c>
      <c r="O159" s="311">
        <v>140</v>
      </c>
      <c r="P159" s="20">
        <v>7.4316342975206613</v>
      </c>
      <c r="Q159" s="20">
        <v>6.6622742729119429</v>
      </c>
      <c r="R159" s="312">
        <v>61</v>
      </c>
      <c r="S159" s="20">
        <v>1.8627008976409989</v>
      </c>
      <c r="T159" s="20">
        <v>4.2585543199315659</v>
      </c>
      <c r="U159" s="20">
        <v>6.1904761904761898</v>
      </c>
      <c r="V159" s="20">
        <v>6.6666666666666679</v>
      </c>
      <c r="W159" s="312">
        <v>114</v>
      </c>
      <c r="X159" s="313">
        <v>315</v>
      </c>
      <c r="Y159" s="236">
        <f t="shared" si="4"/>
        <v>15.620880740981072</v>
      </c>
      <c r="Z159" s="25"/>
      <c r="AA159" s="25"/>
      <c r="AB159" s="25"/>
      <c r="AC159" s="25"/>
      <c r="AD159" s="25"/>
      <c r="AE159" s="25"/>
      <c r="AF159" s="25"/>
      <c r="AG159" s="25"/>
      <c r="AH159" s="25"/>
      <c r="AI159" s="25"/>
      <c r="AJ159" s="25"/>
      <c r="AK159" s="25"/>
      <c r="AL159" s="25"/>
      <c r="AM159" s="25"/>
      <c r="AN159" s="25"/>
      <c r="AO159" s="25"/>
      <c r="AP159" s="25"/>
      <c r="AQ159" s="25"/>
      <c r="AR159" s="25"/>
      <c r="AS159" s="25"/>
      <c r="AT159" s="25"/>
      <c r="AU159" s="25"/>
      <c r="AV159" s="25"/>
      <c r="AW159" s="25"/>
    </row>
    <row r="160" spans="1:49" s="13" customFormat="1">
      <c r="A160" s="13">
        <v>162</v>
      </c>
      <c r="B160" s="13">
        <v>0</v>
      </c>
      <c r="C160" s="294" t="s">
        <v>259</v>
      </c>
      <c r="D160" s="294" t="s">
        <v>258</v>
      </c>
      <c r="E160" s="294" t="s">
        <v>107</v>
      </c>
      <c r="F160" s="294" t="s">
        <v>126</v>
      </c>
      <c r="G160" s="350">
        <v>3</v>
      </c>
      <c r="H160" s="351">
        <v>3</v>
      </c>
      <c r="I160">
        <v>0</v>
      </c>
      <c r="J160" s="13">
        <v>0</v>
      </c>
      <c r="K160" s="305">
        <v>6.0677963095455327</v>
      </c>
      <c r="L160" s="305">
        <v>4.5642857142857149</v>
      </c>
      <c r="M160" s="305">
        <v>3.4008231054383442</v>
      </c>
      <c r="N160" s="305">
        <v>5.541133709753538</v>
      </c>
      <c r="O160" s="311">
        <v>105</v>
      </c>
      <c r="P160" s="305">
        <v>1</v>
      </c>
      <c r="Q160" s="305">
        <v>5.3859018440033317</v>
      </c>
      <c r="R160" s="312">
        <v>164</v>
      </c>
      <c r="S160" s="305">
        <v>3.9123586767243359</v>
      </c>
      <c r="T160" s="305">
        <v>1</v>
      </c>
      <c r="U160" s="305">
        <v>5.7142857142857135</v>
      </c>
      <c r="V160" s="305">
        <v>5.7142857142857135</v>
      </c>
      <c r="W160" s="312">
        <v>138</v>
      </c>
      <c r="X160" s="313">
        <v>407</v>
      </c>
      <c r="Y160" s="236">
        <f t="shared" si="4"/>
        <v>14.364644080083055</v>
      </c>
      <c r="Z160" s="25"/>
      <c r="AA160" s="25"/>
      <c r="AB160" s="25"/>
      <c r="AC160" s="25"/>
      <c r="AD160" s="25"/>
      <c r="AE160" s="25"/>
      <c r="AF160" s="25"/>
      <c r="AG160" s="25"/>
      <c r="AH160" s="25"/>
      <c r="AI160" s="25"/>
      <c r="AJ160" s="25"/>
      <c r="AK160" s="25"/>
      <c r="AL160" s="25"/>
      <c r="AM160" s="25"/>
      <c r="AN160" s="25"/>
      <c r="AO160" s="25"/>
      <c r="AP160" s="25"/>
      <c r="AQ160" s="25"/>
      <c r="AR160" s="25"/>
      <c r="AS160" s="25"/>
      <c r="AT160" s="25"/>
      <c r="AU160" s="25"/>
      <c r="AV160" s="25"/>
      <c r="AW160" s="25"/>
    </row>
    <row r="161" spans="1:49" s="13" customFormat="1">
      <c r="A161" s="13">
        <v>163</v>
      </c>
      <c r="B161" s="13">
        <v>0</v>
      </c>
      <c r="C161" s="294" t="s">
        <v>414</v>
      </c>
      <c r="D161" s="294" t="s">
        <v>413</v>
      </c>
      <c r="E161" s="294" t="s">
        <v>115</v>
      </c>
      <c r="F161" s="294" t="s">
        <v>116</v>
      </c>
      <c r="G161" s="350">
        <v>3</v>
      </c>
      <c r="H161" s="351">
        <v>2</v>
      </c>
      <c r="I161">
        <v>0</v>
      </c>
      <c r="J161" s="13">
        <v>0</v>
      </c>
      <c r="K161" s="20">
        <v>8.0748568680348516</v>
      </c>
      <c r="L161" s="20">
        <v>4.8952380952380947</v>
      </c>
      <c r="M161" s="20">
        <v>3.4620399597478215</v>
      </c>
      <c r="N161" s="20">
        <v>6.4131060485664824</v>
      </c>
      <c r="O161" s="311">
        <v>46</v>
      </c>
      <c r="P161" s="20">
        <v>7.2268842975206606</v>
      </c>
      <c r="Q161" s="20">
        <v>6.4105837011317908</v>
      </c>
      <c r="R161" s="312">
        <v>74</v>
      </c>
      <c r="S161" s="20">
        <v>3.9207348354401268</v>
      </c>
      <c r="T161" s="20">
        <v>4.5623752495009988</v>
      </c>
      <c r="U161" s="20">
        <v>6.1904761904761898</v>
      </c>
      <c r="V161" s="20">
        <v>6.6666666666666679</v>
      </c>
      <c r="W161" s="312">
        <v>86</v>
      </c>
      <c r="X161" s="313">
        <v>206</v>
      </c>
      <c r="Y161" s="236">
        <f t="shared" si="4"/>
        <v>17.456957179549597</v>
      </c>
      <c r="Z161" s="25"/>
      <c r="AA161" s="25"/>
      <c r="AB161" s="25"/>
      <c r="AC161" s="25"/>
      <c r="AD161" s="25"/>
      <c r="AE161" s="25"/>
      <c r="AF161" s="25"/>
      <c r="AG161" s="25"/>
      <c r="AH161" s="25"/>
      <c r="AI161" s="25"/>
      <c r="AJ161" s="25"/>
      <c r="AK161" s="25"/>
      <c r="AL161" s="25"/>
      <c r="AM161" s="25"/>
      <c r="AN161" s="25"/>
      <c r="AO161" s="25"/>
      <c r="AP161" s="25"/>
      <c r="AQ161" s="25"/>
      <c r="AR161" s="25"/>
      <c r="AS161" s="25"/>
      <c r="AT161" s="25"/>
      <c r="AU161" s="25"/>
      <c r="AV161" s="25"/>
      <c r="AW161" s="25"/>
    </row>
    <row r="162" spans="1:49" s="13" customFormat="1">
      <c r="A162" s="13">
        <v>164</v>
      </c>
      <c r="B162" s="13">
        <v>0</v>
      </c>
      <c r="C162" s="294" t="s">
        <v>572</v>
      </c>
      <c r="D162" s="294" t="s">
        <v>571</v>
      </c>
      <c r="E162" s="294" t="s">
        <v>111</v>
      </c>
      <c r="F162" s="294" t="s">
        <v>110</v>
      </c>
      <c r="G162" s="350">
        <v>1</v>
      </c>
      <c r="H162" s="351">
        <v>2</v>
      </c>
      <c r="I162">
        <v>1</v>
      </c>
      <c r="J162" s="13">
        <v>0</v>
      </c>
      <c r="K162" s="305">
        <v>7.8831052150469274</v>
      </c>
      <c r="L162" s="305">
        <v>7.5</v>
      </c>
      <c r="M162" s="305">
        <v>5.6107515460104755</v>
      </c>
      <c r="N162" s="305">
        <v>6.564395741802735</v>
      </c>
      <c r="O162" s="311">
        <v>1</v>
      </c>
      <c r="P162" s="305">
        <v>7.3968243801652891</v>
      </c>
      <c r="Q162" s="305">
        <v>7.9387651535830672</v>
      </c>
      <c r="R162" s="312">
        <v>12</v>
      </c>
      <c r="S162" s="305">
        <v>3.7412463805057947</v>
      </c>
      <c r="T162" s="305">
        <v>6.600228115198175</v>
      </c>
      <c r="U162" s="305">
        <v>8.0952380952380949</v>
      </c>
      <c r="V162" s="305">
        <v>9.0476190476190474</v>
      </c>
      <c r="W162" s="312">
        <v>17</v>
      </c>
      <c r="X162" s="313">
        <v>30</v>
      </c>
      <c r="Y162" s="236">
        <f t="shared" ref="Y162:Y197" si="5">(((AVERAGE(K162:N162)+AVERAGE(Q162+AVERAGE(S162:V162)))))</f>
        <v>21.699411188938381</v>
      </c>
      <c r="Z162" s="25"/>
      <c r="AA162" s="25"/>
      <c r="AB162" s="25"/>
      <c r="AC162" s="25"/>
      <c r="AD162" s="25"/>
      <c r="AE162" s="25"/>
      <c r="AF162" s="25"/>
      <c r="AG162" s="25"/>
      <c r="AH162" s="25"/>
      <c r="AI162" s="25"/>
      <c r="AJ162" s="25"/>
      <c r="AK162" s="25"/>
      <c r="AL162" s="25"/>
      <c r="AM162" s="25"/>
      <c r="AN162" s="25"/>
      <c r="AO162" s="25"/>
      <c r="AP162" s="25"/>
      <c r="AQ162" s="25"/>
      <c r="AR162" s="25"/>
      <c r="AS162" s="25"/>
      <c r="AT162" s="25"/>
      <c r="AU162" s="25"/>
      <c r="AV162" s="25"/>
      <c r="AW162" s="25"/>
    </row>
    <row r="163" spans="1:49" s="13" customFormat="1">
      <c r="A163" s="13">
        <v>165</v>
      </c>
      <c r="B163" s="13">
        <v>0</v>
      </c>
      <c r="C163" s="294" t="s">
        <v>576</v>
      </c>
      <c r="D163" s="294" t="s">
        <v>575</v>
      </c>
      <c r="E163" s="294" t="s">
        <v>111</v>
      </c>
      <c r="F163" s="294" t="s">
        <v>110</v>
      </c>
      <c r="G163" s="350">
        <v>1</v>
      </c>
      <c r="H163" s="351">
        <v>2</v>
      </c>
      <c r="I163">
        <v>0</v>
      </c>
      <c r="J163" s="13">
        <v>0</v>
      </c>
      <c r="K163" s="305">
        <v>8.72241813754197</v>
      </c>
      <c r="L163" s="305">
        <v>8.1714285714285708</v>
      </c>
      <c r="M163" s="305">
        <v>3.6154746187654276</v>
      </c>
      <c r="N163" s="305">
        <v>6.2383031704466791</v>
      </c>
      <c r="O163" s="311">
        <v>6</v>
      </c>
      <c r="P163" s="305">
        <v>7.4926446280991739</v>
      </c>
      <c r="Q163" s="305">
        <v>7.2918101497958547</v>
      </c>
      <c r="R163" s="312">
        <v>31</v>
      </c>
      <c r="S163" s="305">
        <v>4.4120817630870484</v>
      </c>
      <c r="T163" s="305">
        <v>5.5096236099230111</v>
      </c>
      <c r="U163" s="305">
        <v>8.9285714285714288</v>
      </c>
      <c r="V163" s="305">
        <v>8.9285714285714288</v>
      </c>
      <c r="W163" s="312">
        <v>15</v>
      </c>
      <c r="X163" s="313">
        <v>52</v>
      </c>
      <c r="Y163" s="236">
        <f t="shared" si="5"/>
        <v>20.923428331879748</v>
      </c>
      <c r="Z163" s="25"/>
      <c r="AA163" s="25"/>
      <c r="AB163" s="25"/>
      <c r="AC163" s="25"/>
      <c r="AD163" s="25"/>
      <c r="AE163" s="25"/>
      <c r="AF163" s="25"/>
      <c r="AG163" s="25"/>
      <c r="AH163" s="25"/>
      <c r="AI163" s="25"/>
      <c r="AJ163" s="25"/>
      <c r="AK163" s="25"/>
      <c r="AL163" s="25"/>
      <c r="AM163" s="25"/>
      <c r="AN163" s="25"/>
      <c r="AO163" s="25"/>
      <c r="AP163" s="25"/>
      <c r="AQ163" s="25"/>
      <c r="AR163" s="25"/>
      <c r="AS163" s="25"/>
      <c r="AT163" s="25"/>
      <c r="AU163" s="25"/>
      <c r="AV163" s="25"/>
      <c r="AW163" s="25"/>
    </row>
    <row r="164" spans="1:49" s="13" customFormat="1">
      <c r="A164" s="13">
        <v>167</v>
      </c>
      <c r="B164" s="13">
        <v>0</v>
      </c>
      <c r="C164" s="294" t="s">
        <v>386</v>
      </c>
      <c r="D164" s="294" t="s">
        <v>385</v>
      </c>
      <c r="E164" s="294" t="s">
        <v>107</v>
      </c>
      <c r="F164" s="294" t="s">
        <v>108</v>
      </c>
      <c r="G164" s="350">
        <v>3</v>
      </c>
      <c r="H164" s="351">
        <v>3</v>
      </c>
      <c r="I164">
        <v>0</v>
      </c>
      <c r="J164" s="13">
        <v>0</v>
      </c>
      <c r="K164" s="305">
        <v>6.1346239120802348</v>
      </c>
      <c r="L164" s="305">
        <v>6.0857142857142854</v>
      </c>
      <c r="M164" s="305">
        <v>2.7274377080340937</v>
      </c>
      <c r="N164" s="305">
        <v>5.5736592180632583</v>
      </c>
      <c r="O164" s="311">
        <v>88</v>
      </c>
      <c r="P164" s="305">
        <v>7.698845041322314</v>
      </c>
      <c r="Q164" s="305">
        <v>6.909543981152261</v>
      </c>
      <c r="R164" s="312">
        <v>35</v>
      </c>
      <c r="S164" s="305">
        <v>2.1834224394813915</v>
      </c>
      <c r="T164" s="305">
        <v>4.9294268605645852</v>
      </c>
      <c r="U164" s="305">
        <v>7.8571428571428568</v>
      </c>
      <c r="V164" s="305">
        <v>8.5714285714285712</v>
      </c>
      <c r="W164" s="312">
        <v>56</v>
      </c>
      <c r="X164" s="313">
        <v>179</v>
      </c>
      <c r="Y164" s="236">
        <f t="shared" si="5"/>
        <v>17.925257944279579</v>
      </c>
      <c r="Z164" s="25"/>
      <c r="AA164" s="25"/>
      <c r="AB164" s="25"/>
      <c r="AC164" s="25"/>
      <c r="AD164" s="25"/>
      <c r="AE164" s="25"/>
      <c r="AF164" s="25"/>
      <c r="AG164" s="25"/>
      <c r="AH164" s="25"/>
      <c r="AI164" s="25"/>
      <c r="AJ164" s="25"/>
      <c r="AK164" s="25"/>
      <c r="AL164" s="25"/>
      <c r="AM164" s="25"/>
      <c r="AN164" s="25"/>
      <c r="AO164" s="25"/>
      <c r="AP164" s="25"/>
      <c r="AQ164" s="25"/>
      <c r="AR164" s="25"/>
      <c r="AS164" s="25"/>
      <c r="AT164" s="25"/>
      <c r="AU164" s="25"/>
      <c r="AV164" s="25"/>
      <c r="AW164" s="25"/>
    </row>
    <row r="165" spans="1:49" s="13" customFormat="1">
      <c r="A165" s="13">
        <v>168</v>
      </c>
      <c r="B165" s="13">
        <v>0</v>
      </c>
      <c r="C165" s="294" t="s">
        <v>446</v>
      </c>
      <c r="D165" s="294" t="s">
        <v>445</v>
      </c>
      <c r="E165" s="294" t="s">
        <v>107</v>
      </c>
      <c r="F165" s="294" t="s">
        <v>133</v>
      </c>
      <c r="G165" s="350">
        <v>2</v>
      </c>
      <c r="H165" s="351">
        <v>2</v>
      </c>
      <c r="I165">
        <v>0</v>
      </c>
      <c r="J165" s="13">
        <v>0</v>
      </c>
      <c r="K165" s="305">
        <v>6.3841007262470013</v>
      </c>
      <c r="L165" s="305">
        <v>7.2214285714285715</v>
      </c>
      <c r="M165" s="305">
        <v>4.9312444631752772</v>
      </c>
      <c r="N165" s="305">
        <v>6.119591034727069</v>
      </c>
      <c r="O165" s="311">
        <v>24</v>
      </c>
      <c r="P165" s="305">
        <v>7.2313842975206608</v>
      </c>
      <c r="Q165" s="305">
        <v>5.7801793581425569</v>
      </c>
      <c r="R165" s="312">
        <v>101</v>
      </c>
      <c r="S165" s="305">
        <v>1</v>
      </c>
      <c r="T165" s="305">
        <v>5.1721556886227544</v>
      </c>
      <c r="U165" s="305">
        <v>6.25</v>
      </c>
      <c r="V165" s="305">
        <v>8.0357142857142865</v>
      </c>
      <c r="W165" s="312">
        <v>97</v>
      </c>
      <c r="X165" s="313">
        <v>222</v>
      </c>
      <c r="Y165" s="236">
        <f t="shared" si="5"/>
        <v>17.058738050621297</v>
      </c>
      <c r="Z165" s="25"/>
      <c r="AA165" s="25"/>
      <c r="AB165" s="25"/>
      <c r="AC165" s="25"/>
      <c r="AD165" s="25"/>
      <c r="AE165" s="25"/>
      <c r="AF165" s="25"/>
      <c r="AG165" s="25"/>
      <c r="AH165" s="25"/>
      <c r="AI165" s="25"/>
      <c r="AJ165" s="25"/>
      <c r="AK165" s="25"/>
      <c r="AL165" s="25"/>
      <c r="AM165" s="25"/>
      <c r="AN165" s="25"/>
      <c r="AO165" s="25"/>
      <c r="AP165" s="25"/>
      <c r="AQ165" s="25"/>
      <c r="AR165" s="25"/>
      <c r="AS165" s="25"/>
      <c r="AT165" s="25"/>
      <c r="AU165" s="25"/>
      <c r="AV165" s="25"/>
      <c r="AW165" s="25"/>
    </row>
    <row r="166" spans="1:49" s="13" customFormat="1">
      <c r="A166" s="13">
        <v>169</v>
      </c>
      <c r="B166" s="13">
        <v>0</v>
      </c>
      <c r="C166" s="294" t="s">
        <v>460</v>
      </c>
      <c r="D166" s="294" t="s">
        <v>157</v>
      </c>
      <c r="E166" s="294" t="s">
        <v>113</v>
      </c>
      <c r="F166" s="294" t="s">
        <v>140</v>
      </c>
      <c r="G166" s="350">
        <v>3</v>
      </c>
      <c r="H166" s="351">
        <v>3</v>
      </c>
      <c r="I166">
        <v>0</v>
      </c>
      <c r="J166" s="13">
        <v>0</v>
      </c>
      <c r="K166" s="310">
        <v>6.7454966539701875</v>
      </c>
      <c r="L166" s="310">
        <v>5.0678571428571431</v>
      </c>
      <c r="M166" s="310">
        <v>1.7031358855049155</v>
      </c>
      <c r="N166" s="310">
        <v>5.8804719600159912</v>
      </c>
      <c r="O166" s="311">
        <v>109</v>
      </c>
      <c r="P166" s="310">
        <v>7.7981053719008262</v>
      </c>
      <c r="Q166" s="310">
        <v>6.135984747445316</v>
      </c>
      <c r="R166" s="312">
        <v>66</v>
      </c>
      <c r="S166" s="310">
        <v>3.1706617047601138</v>
      </c>
      <c r="T166" s="310">
        <v>5.9056886227544911</v>
      </c>
      <c r="U166" s="310">
        <v>6.25</v>
      </c>
      <c r="V166" s="310">
        <v>8.0357142857142865</v>
      </c>
      <c r="W166" s="312">
        <v>59</v>
      </c>
      <c r="X166" s="313">
        <v>234</v>
      </c>
      <c r="Y166" s="236">
        <f t="shared" si="5"/>
        <v>16.825741311339598</v>
      </c>
      <c r="Z166" s="25"/>
      <c r="AA166" s="25"/>
      <c r="AB166" s="25"/>
      <c r="AC166" s="25"/>
      <c r="AD166" s="25"/>
      <c r="AE166" s="25"/>
      <c r="AF166" s="25"/>
      <c r="AG166" s="25"/>
      <c r="AH166" s="25"/>
      <c r="AI166" s="25"/>
      <c r="AJ166" s="25"/>
      <c r="AK166" s="25"/>
      <c r="AL166" s="25"/>
      <c r="AM166" s="25"/>
      <c r="AN166" s="25"/>
      <c r="AO166" s="25"/>
      <c r="AP166" s="25"/>
      <c r="AQ166" s="25"/>
      <c r="AR166" s="25"/>
      <c r="AS166" s="25"/>
      <c r="AT166" s="25"/>
      <c r="AU166" s="25"/>
      <c r="AV166" s="25"/>
      <c r="AW166" s="25"/>
    </row>
    <row r="167" spans="1:49" s="13" customFormat="1">
      <c r="A167" s="13">
        <v>170</v>
      </c>
      <c r="B167" s="13">
        <v>0</v>
      </c>
      <c r="C167" s="294" t="s">
        <v>296</v>
      </c>
      <c r="D167" s="294" t="s">
        <v>295</v>
      </c>
      <c r="E167" s="294" t="s">
        <v>107</v>
      </c>
      <c r="F167" s="294" t="s">
        <v>126</v>
      </c>
      <c r="G167" s="350">
        <v>4</v>
      </c>
      <c r="H167" s="351">
        <v>3</v>
      </c>
      <c r="I167">
        <v>0</v>
      </c>
      <c r="J167" s="13">
        <v>0</v>
      </c>
      <c r="K167" s="20">
        <v>5.2718767748267945</v>
      </c>
      <c r="L167" s="20">
        <v>2.98</v>
      </c>
      <c r="M167" s="20">
        <v>1.7026675668934437</v>
      </c>
      <c r="N167" s="20">
        <v>5.0026838232741264</v>
      </c>
      <c r="O167" s="311">
        <v>159</v>
      </c>
      <c r="P167" s="20">
        <v>7.1195537190082643</v>
      </c>
      <c r="Q167" s="20">
        <v>5.7472356364664048</v>
      </c>
      <c r="R167" s="312">
        <v>109</v>
      </c>
      <c r="S167" s="20">
        <v>2.2917376072472551</v>
      </c>
      <c r="T167" s="20">
        <v>3.761334473909324</v>
      </c>
      <c r="U167" s="20">
        <v>4.2857142857142856</v>
      </c>
      <c r="V167" s="20">
        <v>4.2857142857142856</v>
      </c>
      <c r="W167" s="312">
        <v>143</v>
      </c>
      <c r="X167" s="313">
        <v>411</v>
      </c>
      <c r="Y167" s="236">
        <f t="shared" si="5"/>
        <v>13.142667840861282</v>
      </c>
      <c r="Z167" s="25"/>
      <c r="AA167" s="25"/>
      <c r="AB167" s="25"/>
      <c r="AC167" s="25"/>
      <c r="AD167" s="25"/>
      <c r="AE167" s="25"/>
      <c r="AF167" s="25"/>
      <c r="AG167" s="25"/>
      <c r="AH167" s="25"/>
      <c r="AI167" s="25"/>
      <c r="AJ167" s="25"/>
      <c r="AK167" s="25"/>
      <c r="AL167" s="25"/>
      <c r="AM167" s="25"/>
      <c r="AN167" s="25"/>
      <c r="AO167" s="25"/>
      <c r="AP167" s="25"/>
      <c r="AQ167" s="25"/>
      <c r="AR167" s="25"/>
      <c r="AS167" s="25"/>
      <c r="AT167" s="25"/>
      <c r="AU167" s="25"/>
      <c r="AV167" s="25"/>
      <c r="AW167" s="25"/>
    </row>
    <row r="168" spans="1:49" s="13" customFormat="1">
      <c r="A168" s="13">
        <v>171</v>
      </c>
      <c r="B168" s="13">
        <v>0</v>
      </c>
      <c r="C168" s="294" t="s">
        <v>265</v>
      </c>
      <c r="D168" s="294" t="s">
        <v>264</v>
      </c>
      <c r="E168" s="294" t="s">
        <v>107</v>
      </c>
      <c r="F168" s="294" t="s">
        <v>122</v>
      </c>
      <c r="G168" s="350">
        <v>4</v>
      </c>
      <c r="H168" s="351">
        <v>3</v>
      </c>
      <c r="I168">
        <v>0</v>
      </c>
      <c r="J168" s="13">
        <v>0</v>
      </c>
      <c r="K168" s="20">
        <v>7.2775063947131402</v>
      </c>
      <c r="L168" s="20">
        <v>5.0107142857142861</v>
      </c>
      <c r="M168" s="20">
        <v>1.9622270291656272</v>
      </c>
      <c r="N168" s="20">
        <v>4.6064640257871554</v>
      </c>
      <c r="O168" s="311">
        <v>118</v>
      </c>
      <c r="P168" s="20">
        <v>5.6433305785123968</v>
      </c>
      <c r="Q168" s="20">
        <v>5.8681327660590039</v>
      </c>
      <c r="R168" s="312">
        <v>138</v>
      </c>
      <c r="S168" s="20">
        <v>2.9671436415880392</v>
      </c>
      <c r="T168" s="20">
        <v>4.6570252352437986</v>
      </c>
      <c r="U168" s="20">
        <v>5.7142857142857135</v>
      </c>
      <c r="V168" s="20">
        <v>5.7142857142857135</v>
      </c>
      <c r="W168" s="312">
        <v>113</v>
      </c>
      <c r="X168" s="313">
        <v>369</v>
      </c>
      <c r="Y168" s="236">
        <f t="shared" si="5"/>
        <v>15.345545776254873</v>
      </c>
      <c r="Z168" s="25"/>
      <c r="AA168" s="25"/>
      <c r="AB168" s="25"/>
      <c r="AC168" s="25"/>
      <c r="AD168" s="25"/>
      <c r="AE168" s="25"/>
      <c r="AF168" s="25"/>
      <c r="AG168" s="25"/>
      <c r="AH168" s="25"/>
      <c r="AI168" s="25"/>
      <c r="AJ168" s="25"/>
      <c r="AK168" s="25"/>
      <c r="AL168" s="25"/>
      <c r="AM168" s="25"/>
      <c r="AN168" s="25"/>
      <c r="AO168" s="25"/>
      <c r="AP168" s="25"/>
      <c r="AQ168" s="25"/>
      <c r="AR168" s="25"/>
      <c r="AS168" s="25"/>
      <c r="AT168" s="25"/>
      <c r="AU168" s="25"/>
      <c r="AV168" s="25"/>
      <c r="AW168" s="25"/>
    </row>
    <row r="169" spans="1:49" s="13" customFormat="1">
      <c r="A169" s="13">
        <v>172</v>
      </c>
      <c r="B169" s="13">
        <v>0</v>
      </c>
      <c r="C169" s="294" t="s">
        <v>644</v>
      </c>
      <c r="D169" s="294" t="s">
        <v>643</v>
      </c>
      <c r="E169" s="294" t="s">
        <v>119</v>
      </c>
      <c r="F169" s="294" t="s">
        <v>125</v>
      </c>
      <c r="G169" s="350">
        <v>3</v>
      </c>
      <c r="H169" s="351">
        <v>3</v>
      </c>
      <c r="I169">
        <v>0</v>
      </c>
      <c r="J169" s="13">
        <v>0</v>
      </c>
      <c r="K169" s="305">
        <v>8.8068257133171102</v>
      </c>
      <c r="L169" s="305">
        <v>5.5362637362637361</v>
      </c>
      <c r="M169" s="305">
        <v>2.788654562343571</v>
      </c>
      <c r="N169" s="305">
        <v>5.7034232805166756</v>
      </c>
      <c r="O169" s="311">
        <v>47</v>
      </c>
      <c r="P169" s="305">
        <v>5.5143739669421485</v>
      </c>
      <c r="Q169" s="305">
        <v>7.3049978276965835</v>
      </c>
      <c r="R169" s="312">
        <v>112</v>
      </c>
      <c r="S169" s="305">
        <v>4.3241224245924004</v>
      </c>
      <c r="T169" s="305">
        <v>6.4770513917220507</v>
      </c>
      <c r="U169" s="305">
        <v>8.7692307692307683</v>
      </c>
      <c r="V169" s="305">
        <v>8.8186813186813193</v>
      </c>
      <c r="W169" s="312">
        <v>10</v>
      </c>
      <c r="X169" s="313">
        <v>169</v>
      </c>
      <c r="Y169" s="236">
        <f t="shared" si="5"/>
        <v>20.11106112686349</v>
      </c>
      <c r="Z169" s="25"/>
      <c r="AA169" s="25"/>
      <c r="AB169" s="25"/>
      <c r="AC169" s="25"/>
      <c r="AD169" s="25"/>
      <c r="AE169" s="25"/>
      <c r="AF169" s="25"/>
      <c r="AG169" s="25"/>
      <c r="AH169" s="25"/>
      <c r="AI169" s="25"/>
      <c r="AJ169" s="25"/>
      <c r="AK169" s="25"/>
      <c r="AL169" s="25"/>
      <c r="AM169" s="25"/>
      <c r="AN169" s="25"/>
      <c r="AO169" s="25"/>
      <c r="AP169" s="25"/>
      <c r="AQ169" s="25"/>
      <c r="AR169" s="25"/>
      <c r="AS169" s="25"/>
      <c r="AT169" s="25"/>
      <c r="AU169" s="25"/>
      <c r="AV169" s="25"/>
      <c r="AW169" s="25"/>
    </row>
    <row r="170" spans="1:49" s="13" customFormat="1">
      <c r="A170" s="13">
        <v>173</v>
      </c>
      <c r="B170" s="13">
        <v>0</v>
      </c>
      <c r="C170" s="294" t="s">
        <v>426</v>
      </c>
      <c r="D170" s="294" t="s">
        <v>425</v>
      </c>
      <c r="E170" s="294" t="s">
        <v>109</v>
      </c>
      <c r="F170" s="294" t="s">
        <v>141</v>
      </c>
      <c r="G170" s="350">
        <v>3</v>
      </c>
      <c r="H170" s="351">
        <v>3</v>
      </c>
      <c r="I170">
        <v>0</v>
      </c>
      <c r="J170" s="13">
        <v>0</v>
      </c>
      <c r="K170" s="20">
        <v>8.0259585669557847</v>
      </c>
      <c r="L170" s="20">
        <v>4.9285714285714288</v>
      </c>
      <c r="M170" s="20">
        <v>3.6290542458307167</v>
      </c>
      <c r="N170" s="20">
        <v>5.559306420937391</v>
      </c>
      <c r="O170" s="311">
        <v>57</v>
      </c>
      <c r="P170" s="20">
        <v>6.9478842975206607</v>
      </c>
      <c r="Q170" s="20">
        <v>6.4596867559467013</v>
      </c>
      <c r="R170" s="312">
        <v>84</v>
      </c>
      <c r="S170" s="20">
        <v>3.625787708908554</v>
      </c>
      <c r="T170" s="20">
        <v>5.7418733960650128</v>
      </c>
      <c r="U170" s="20">
        <v>5</v>
      </c>
      <c r="V170" s="20">
        <v>8.2142857142857135</v>
      </c>
      <c r="W170" s="312">
        <v>71</v>
      </c>
      <c r="X170" s="313">
        <v>212</v>
      </c>
      <c r="Y170" s="236">
        <f t="shared" si="5"/>
        <v>17.640896126335349</v>
      </c>
      <c r="Z170" s="25"/>
      <c r="AA170" s="25"/>
      <c r="AB170" s="25"/>
      <c r="AC170" s="25"/>
      <c r="AD170" s="25"/>
      <c r="AE170" s="25"/>
      <c r="AF170" s="25"/>
      <c r="AG170" s="25"/>
      <c r="AH170" s="25"/>
      <c r="AI170" s="25"/>
      <c r="AJ170" s="25"/>
      <c r="AK170" s="25"/>
      <c r="AL170" s="25"/>
      <c r="AM170" s="25"/>
      <c r="AN170" s="25"/>
      <c r="AO170" s="25"/>
      <c r="AP170" s="25"/>
      <c r="AQ170" s="25"/>
      <c r="AR170" s="25"/>
      <c r="AS170" s="25"/>
      <c r="AT170" s="25"/>
      <c r="AU170" s="25"/>
      <c r="AV170" s="25"/>
      <c r="AW170" s="25"/>
    </row>
    <row r="171" spans="1:49" s="13" customFormat="1">
      <c r="A171" s="13">
        <v>174</v>
      </c>
      <c r="B171" s="13">
        <v>0</v>
      </c>
      <c r="C171" s="294" t="s">
        <v>478</v>
      </c>
      <c r="D171" s="294" t="s">
        <v>477</v>
      </c>
      <c r="E171" s="294" t="s">
        <v>109</v>
      </c>
      <c r="F171" s="294" t="s">
        <v>141</v>
      </c>
      <c r="G171" s="350">
        <v>3</v>
      </c>
      <c r="H171" s="351">
        <v>3</v>
      </c>
      <c r="I171">
        <v>0</v>
      </c>
      <c r="J171" s="13">
        <v>0</v>
      </c>
      <c r="K171" s="305">
        <v>7.2248818695846015</v>
      </c>
      <c r="L171" s="305">
        <v>5.3047619047619046</v>
      </c>
      <c r="M171" s="305">
        <v>3.5085021330214072</v>
      </c>
      <c r="N171" s="305">
        <v>6.1480485186283911</v>
      </c>
      <c r="O171" s="311">
        <v>56</v>
      </c>
      <c r="P171" s="305">
        <v>7.3438842975206615</v>
      </c>
      <c r="Q171" s="305">
        <v>5.4184462447516992</v>
      </c>
      <c r="R171" s="312">
        <v>115</v>
      </c>
      <c r="S171" s="305">
        <v>2.1209376041423051</v>
      </c>
      <c r="T171" s="305">
        <v>5.3074565155403475</v>
      </c>
      <c r="U171" s="305">
        <v>6.4285714285714288</v>
      </c>
      <c r="V171" s="305">
        <v>8.3333333333333339</v>
      </c>
      <c r="W171" s="312">
        <v>77</v>
      </c>
      <c r="X171" s="313">
        <v>248</v>
      </c>
      <c r="Y171" s="236">
        <f t="shared" si="5"/>
        <v>16.512569571647632</v>
      </c>
      <c r="Z171" s="25"/>
      <c r="AA171" s="25"/>
      <c r="AB171" s="25"/>
      <c r="AC171" s="25"/>
      <c r="AD171" s="25"/>
      <c r="AE171" s="25"/>
      <c r="AF171" s="25"/>
      <c r="AG171" s="25"/>
      <c r="AH171" s="25"/>
      <c r="AI171" s="25"/>
      <c r="AJ171" s="25"/>
      <c r="AK171" s="25"/>
      <c r="AL171" s="25"/>
      <c r="AM171" s="25"/>
      <c r="AN171" s="25"/>
      <c r="AO171" s="25"/>
      <c r="AP171" s="25"/>
      <c r="AQ171" s="25"/>
      <c r="AR171" s="25"/>
      <c r="AS171" s="25"/>
      <c r="AT171" s="25"/>
      <c r="AU171" s="25"/>
      <c r="AV171" s="25"/>
      <c r="AW171" s="25"/>
    </row>
    <row r="172" spans="1:49" s="13" customFormat="1">
      <c r="A172" s="13">
        <v>175</v>
      </c>
      <c r="B172" s="13">
        <v>0</v>
      </c>
      <c r="C172" s="294" t="s">
        <v>301</v>
      </c>
      <c r="D172" s="294" t="s">
        <v>291</v>
      </c>
      <c r="E172" s="294" t="s">
        <v>119</v>
      </c>
      <c r="F172" s="294" t="s">
        <v>125</v>
      </c>
      <c r="G172" s="350">
        <v>3</v>
      </c>
      <c r="H172" s="351">
        <v>3</v>
      </c>
      <c r="I172">
        <v>0</v>
      </c>
      <c r="J172" s="13">
        <v>0</v>
      </c>
      <c r="K172" s="20">
        <v>6.3605062293338674</v>
      </c>
      <c r="L172" s="20">
        <v>3.38</v>
      </c>
      <c r="M172" s="20">
        <v>1.44188376753507</v>
      </c>
      <c r="N172" s="20">
        <v>5.286388297413426</v>
      </c>
      <c r="O172" s="311">
        <v>144</v>
      </c>
      <c r="P172" s="20">
        <v>6.2416632231404954</v>
      </c>
      <c r="Q172" s="20">
        <v>6.0491854382676156</v>
      </c>
      <c r="R172" s="312">
        <v>126</v>
      </c>
      <c r="S172" s="20">
        <v>3.3122821790877701</v>
      </c>
      <c r="T172" s="20">
        <v>4.345380667236955</v>
      </c>
      <c r="U172" s="20">
        <v>5.7142857142857135</v>
      </c>
      <c r="V172" s="20">
        <v>6.4285714285714288</v>
      </c>
      <c r="W172" s="312">
        <v>104</v>
      </c>
      <c r="X172" s="313">
        <v>374</v>
      </c>
      <c r="Y172" s="236">
        <f t="shared" si="5"/>
        <v>15.116510009133673</v>
      </c>
      <c r="Z172" s="25"/>
      <c r="AA172" s="25"/>
      <c r="AB172" s="25"/>
      <c r="AC172" s="25"/>
      <c r="AD172" s="25"/>
      <c r="AE172" s="25"/>
      <c r="AF172" s="25"/>
      <c r="AG172" s="25"/>
      <c r="AH172" s="25"/>
      <c r="AI172" s="25"/>
      <c r="AJ172" s="25"/>
      <c r="AK172" s="25"/>
      <c r="AL172" s="25"/>
      <c r="AM172" s="25"/>
      <c r="AN172" s="25"/>
      <c r="AO172" s="25"/>
      <c r="AP172" s="25"/>
      <c r="AQ172" s="25"/>
      <c r="AR172" s="25"/>
      <c r="AS172" s="25"/>
      <c r="AT172" s="25"/>
      <c r="AU172" s="25"/>
      <c r="AV172" s="25"/>
      <c r="AW172" s="25"/>
    </row>
    <row r="173" spans="1:49" s="13" customFormat="1">
      <c r="A173" s="13">
        <v>176</v>
      </c>
      <c r="B173" s="13">
        <v>0</v>
      </c>
      <c r="C173" s="294" t="s">
        <v>290</v>
      </c>
      <c r="D173" s="294" t="s">
        <v>289</v>
      </c>
      <c r="E173" s="294" t="s">
        <v>119</v>
      </c>
      <c r="F173" s="294" t="s">
        <v>136</v>
      </c>
      <c r="G173" s="350">
        <v>2</v>
      </c>
      <c r="H173" s="351">
        <v>2</v>
      </c>
      <c r="I173">
        <v>0</v>
      </c>
      <c r="J173" s="13">
        <v>0</v>
      </c>
      <c r="K173" s="305">
        <v>7.5972655112294776</v>
      </c>
      <c r="L173" s="305">
        <v>1.2</v>
      </c>
      <c r="M173" s="305">
        <v>3.2171725425099122</v>
      </c>
      <c r="N173" s="305">
        <v>3.4951369408608914</v>
      </c>
      <c r="O173" s="311">
        <v>156</v>
      </c>
      <c r="P173" s="305">
        <v>7.422634297520661</v>
      </c>
      <c r="Q173" s="305">
        <v>6.4094912864872891</v>
      </c>
      <c r="R173" s="312">
        <v>69</v>
      </c>
      <c r="S173" s="305">
        <v>4.8304594251013597</v>
      </c>
      <c r="T173" s="305">
        <v>1.5958083832335328</v>
      </c>
      <c r="U173" s="305">
        <v>1</v>
      </c>
      <c r="V173" s="305">
        <v>1</v>
      </c>
      <c r="W173" s="312">
        <v>160</v>
      </c>
      <c r="X173" s="313">
        <v>385</v>
      </c>
      <c r="Y173" s="236">
        <f t="shared" si="5"/>
        <v>12.393451987221084</v>
      </c>
      <c r="Z173" s="25"/>
      <c r="AA173" s="25"/>
      <c r="AB173" s="25"/>
      <c r="AC173" s="25"/>
      <c r="AD173" s="25"/>
      <c r="AE173" s="25"/>
      <c r="AF173" s="25"/>
      <c r="AG173" s="25"/>
      <c r="AH173" s="25"/>
      <c r="AI173" s="25"/>
      <c r="AJ173" s="25"/>
      <c r="AK173" s="25"/>
      <c r="AL173" s="25"/>
      <c r="AM173" s="25"/>
      <c r="AN173" s="25"/>
      <c r="AO173" s="25"/>
      <c r="AP173" s="25"/>
      <c r="AQ173" s="25"/>
      <c r="AR173" s="25"/>
      <c r="AS173" s="25"/>
      <c r="AT173" s="25"/>
      <c r="AU173" s="25"/>
      <c r="AV173" s="25"/>
      <c r="AW173" s="25"/>
    </row>
    <row r="174" spans="1:49" s="13" customFormat="1">
      <c r="A174" s="13">
        <v>177</v>
      </c>
      <c r="B174" s="13">
        <v>0</v>
      </c>
      <c r="C174" s="294" t="s">
        <v>402</v>
      </c>
      <c r="D174" s="294" t="s">
        <v>401</v>
      </c>
      <c r="E174" s="294" t="s">
        <v>115</v>
      </c>
      <c r="F174" s="294" t="s">
        <v>118</v>
      </c>
      <c r="G174" s="350">
        <v>2</v>
      </c>
      <c r="H174" s="351">
        <v>2</v>
      </c>
      <c r="I174">
        <v>0</v>
      </c>
      <c r="J174" s="13">
        <v>0</v>
      </c>
      <c r="K174" s="20">
        <v>7.6752240715211641</v>
      </c>
      <c r="L174" s="20">
        <v>5.4607142857142854</v>
      </c>
      <c r="M174" s="20">
        <v>3.0947388338909581</v>
      </c>
      <c r="N174" s="20">
        <v>4.8529583727192023</v>
      </c>
      <c r="O174" s="311">
        <v>78</v>
      </c>
      <c r="P174" s="20">
        <v>7.3257541322314053</v>
      </c>
      <c r="Q174" s="20">
        <v>7.7995189615277658</v>
      </c>
      <c r="R174" s="312">
        <v>20</v>
      </c>
      <c r="S174" s="20">
        <v>3.9690273314211062</v>
      </c>
      <c r="T174" s="20">
        <v>4.4077202737382377</v>
      </c>
      <c r="U174" s="20">
        <v>4.1071428571428568</v>
      </c>
      <c r="V174" s="20">
        <v>6.0714285714285712</v>
      </c>
      <c r="W174" s="312">
        <v>119</v>
      </c>
      <c r="X174" s="313">
        <v>217</v>
      </c>
      <c r="Y174" s="236">
        <f t="shared" si="5"/>
        <v>17.70925761092186</v>
      </c>
      <c r="Z174" s="25"/>
      <c r="AA174" s="25"/>
      <c r="AB174" s="25"/>
      <c r="AC174" s="25"/>
      <c r="AD174" s="25"/>
      <c r="AE174" s="25"/>
      <c r="AF174" s="25"/>
      <c r="AG174" s="25"/>
      <c r="AH174" s="25"/>
      <c r="AI174" s="25"/>
      <c r="AJ174" s="25"/>
      <c r="AK174" s="25"/>
      <c r="AL174" s="25"/>
      <c r="AM174" s="25"/>
      <c r="AN174" s="25"/>
      <c r="AO174" s="25"/>
      <c r="AP174" s="25"/>
      <c r="AQ174" s="25"/>
      <c r="AR174" s="25"/>
      <c r="AS174" s="25"/>
      <c r="AT174" s="25"/>
      <c r="AU174" s="25"/>
      <c r="AV174" s="25"/>
      <c r="AW174" s="25"/>
    </row>
    <row r="175" spans="1:49" s="13" customFormat="1">
      <c r="A175" s="13">
        <v>178</v>
      </c>
      <c r="B175" s="13">
        <v>0</v>
      </c>
      <c r="C175" s="294" t="s">
        <v>658</v>
      </c>
      <c r="D175" s="294" t="s">
        <v>657</v>
      </c>
      <c r="E175" s="294" t="s">
        <v>113</v>
      </c>
      <c r="F175" s="294" t="s">
        <v>134</v>
      </c>
      <c r="G175" s="350">
        <v>2</v>
      </c>
      <c r="H175" s="351">
        <v>3</v>
      </c>
      <c r="I175">
        <v>0</v>
      </c>
      <c r="J175" s="13">
        <v>0</v>
      </c>
      <c r="K175" s="305">
        <v>7.2407103603693059</v>
      </c>
      <c r="L175" s="305">
        <v>6.7238095238095239</v>
      </c>
      <c r="M175" s="305">
        <v>2.5193004033818709</v>
      </c>
      <c r="N175" s="305">
        <v>6.1775196983137075</v>
      </c>
      <c r="O175" s="311">
        <v>50</v>
      </c>
      <c r="P175" s="305">
        <v>8.0414958677685942</v>
      </c>
      <c r="Q175" s="305">
        <v>6.8010349586020613</v>
      </c>
      <c r="R175" s="312">
        <v>29</v>
      </c>
      <c r="S175" s="305">
        <v>4.1888391634612363</v>
      </c>
      <c r="T175" s="305">
        <v>5.9280724265754206</v>
      </c>
      <c r="U175" s="305">
        <v>7.8571428571428568</v>
      </c>
      <c r="V175" s="305">
        <v>5</v>
      </c>
      <c r="W175" s="312">
        <v>67</v>
      </c>
      <c r="X175" s="313">
        <v>146</v>
      </c>
      <c r="Y175" s="236">
        <f t="shared" si="5"/>
        <v>18.209883566865543</v>
      </c>
      <c r="Z175" s="25"/>
      <c r="AA175" s="25"/>
      <c r="AB175" s="25"/>
      <c r="AC175" s="25"/>
      <c r="AD175" s="25"/>
      <c r="AE175" s="25"/>
      <c r="AF175" s="25"/>
      <c r="AG175" s="25"/>
      <c r="AH175" s="25"/>
      <c r="AI175" s="25"/>
      <c r="AJ175" s="25"/>
      <c r="AK175" s="25"/>
      <c r="AL175" s="25"/>
      <c r="AM175" s="25"/>
      <c r="AN175" s="25"/>
      <c r="AO175" s="25"/>
      <c r="AP175" s="25"/>
      <c r="AQ175" s="25"/>
      <c r="AR175" s="25"/>
      <c r="AS175" s="25"/>
      <c r="AT175" s="25"/>
      <c r="AU175" s="25"/>
      <c r="AV175" s="25"/>
      <c r="AW175" s="25"/>
    </row>
    <row r="176" spans="1:49" s="13" customFormat="1">
      <c r="A176" s="13">
        <v>179</v>
      </c>
      <c r="B176" s="13">
        <v>0</v>
      </c>
      <c r="C176" s="294" t="s">
        <v>602</v>
      </c>
      <c r="D176" s="294" t="s">
        <v>601</v>
      </c>
      <c r="E176" s="294" t="s">
        <v>109</v>
      </c>
      <c r="F176" s="294" t="s">
        <v>110</v>
      </c>
      <c r="G176" s="350">
        <v>2</v>
      </c>
      <c r="H176" s="351">
        <v>2</v>
      </c>
      <c r="I176">
        <v>0</v>
      </c>
      <c r="J176" s="13">
        <v>0</v>
      </c>
      <c r="K176" s="305">
        <v>7.5193486751400531</v>
      </c>
      <c r="L176" s="305">
        <v>6.1176190476190477</v>
      </c>
      <c r="M176" s="305">
        <v>2.5546999363533933</v>
      </c>
      <c r="N176" s="305">
        <v>6.8312529057553277</v>
      </c>
      <c r="O176" s="311">
        <v>41</v>
      </c>
      <c r="P176" s="305">
        <v>7.2450144628099169</v>
      </c>
      <c r="Q176" s="305">
        <v>7.1573203454720957</v>
      </c>
      <c r="R176" s="312">
        <v>43</v>
      </c>
      <c r="S176" s="305">
        <v>3.933369448045259</v>
      </c>
      <c r="T176" s="305">
        <v>6.0074137439406901</v>
      </c>
      <c r="U176" s="305">
        <v>9.5238095238095237</v>
      </c>
      <c r="V176" s="305">
        <v>9.7619047619047628</v>
      </c>
      <c r="W176" s="312">
        <v>7</v>
      </c>
      <c r="X176" s="313">
        <v>91</v>
      </c>
      <c r="Y176" s="236">
        <f t="shared" si="5"/>
        <v>20.219674856114111</v>
      </c>
      <c r="Z176" s="25"/>
      <c r="AA176" s="25"/>
      <c r="AB176" s="25"/>
      <c r="AC176" s="25"/>
      <c r="AD176" s="25"/>
      <c r="AE176" s="25"/>
      <c r="AF176" s="25"/>
      <c r="AG176" s="25"/>
      <c r="AH176" s="25"/>
      <c r="AI176" s="25"/>
      <c r="AJ176" s="25"/>
      <c r="AK176" s="25"/>
      <c r="AL176" s="25"/>
      <c r="AM176" s="25"/>
      <c r="AN176" s="25"/>
      <c r="AO176" s="25"/>
      <c r="AP176" s="25"/>
      <c r="AQ176" s="25"/>
      <c r="AR176" s="25"/>
      <c r="AS176" s="25"/>
      <c r="AT176" s="25"/>
      <c r="AU176" s="25"/>
      <c r="AV176" s="25"/>
      <c r="AW176" s="25"/>
    </row>
    <row r="177" spans="1:49" s="13" customFormat="1">
      <c r="A177" s="13">
        <v>181</v>
      </c>
      <c r="B177" s="13">
        <v>0</v>
      </c>
      <c r="C177" s="294" t="s">
        <v>418</v>
      </c>
      <c r="D177" s="294" t="s">
        <v>417</v>
      </c>
      <c r="E177" s="294" t="s">
        <v>107</v>
      </c>
      <c r="F177" s="294" t="s">
        <v>108</v>
      </c>
      <c r="G177" s="350">
        <v>4</v>
      </c>
      <c r="H177" s="351">
        <v>3</v>
      </c>
      <c r="I177">
        <v>0</v>
      </c>
      <c r="J177" s="13">
        <v>0</v>
      </c>
      <c r="K177" s="20">
        <v>6.261118716806144</v>
      </c>
      <c r="L177" s="20">
        <v>4.7142857142857144</v>
      </c>
      <c r="M177" s="20">
        <v>2.1152691649393205</v>
      </c>
      <c r="N177" s="20">
        <v>4.9025260318471879</v>
      </c>
      <c r="O177" s="311">
        <v>133</v>
      </c>
      <c r="P177" s="20">
        <v>6.8582933884297521</v>
      </c>
      <c r="Q177" s="20">
        <v>6.8315118964828416</v>
      </c>
      <c r="R177" s="312">
        <v>72</v>
      </c>
      <c r="S177" s="20">
        <v>3.0328314413892739</v>
      </c>
      <c r="T177" s="20">
        <v>5.5438214480130643</v>
      </c>
      <c r="U177" s="20">
        <v>8.6363636363636349</v>
      </c>
      <c r="V177" s="20">
        <v>9.1152597402597397</v>
      </c>
      <c r="W177" s="312">
        <v>30</v>
      </c>
      <c r="X177" s="313">
        <v>235</v>
      </c>
      <c r="Y177" s="236">
        <f t="shared" si="5"/>
        <v>17.911880869958861</v>
      </c>
      <c r="Z177" s="25"/>
      <c r="AA177" s="25"/>
      <c r="AB177" s="25"/>
      <c r="AC177" s="25"/>
      <c r="AD177" s="25"/>
      <c r="AE177" s="25"/>
      <c r="AF177" s="25"/>
      <c r="AG177" s="25"/>
      <c r="AH177" s="25"/>
      <c r="AI177" s="25"/>
      <c r="AJ177" s="25"/>
      <c r="AK177" s="25"/>
      <c r="AL177" s="25"/>
      <c r="AM177" s="25"/>
      <c r="AN177" s="25"/>
      <c r="AO177" s="25"/>
      <c r="AP177" s="25"/>
      <c r="AQ177" s="25"/>
      <c r="AR177" s="25"/>
      <c r="AS177" s="25"/>
      <c r="AT177" s="25"/>
      <c r="AU177" s="25"/>
      <c r="AV177" s="25"/>
      <c r="AW177" s="25"/>
    </row>
    <row r="178" spans="1:49" s="13" customFormat="1">
      <c r="A178" s="13">
        <v>182</v>
      </c>
      <c r="B178" s="13">
        <v>0</v>
      </c>
      <c r="C178" s="294" t="s">
        <v>476</v>
      </c>
      <c r="D178" s="294" t="s">
        <v>475</v>
      </c>
      <c r="E178" s="294" t="s">
        <v>107</v>
      </c>
      <c r="F178" s="294" t="s">
        <v>121</v>
      </c>
      <c r="G178" s="350">
        <v>4</v>
      </c>
      <c r="H178" s="351">
        <v>3</v>
      </c>
      <c r="I178">
        <v>0</v>
      </c>
      <c r="J178" s="13">
        <v>0</v>
      </c>
      <c r="K178" s="305">
        <v>6.2629259716661076</v>
      </c>
      <c r="L178" s="305">
        <v>4.6575510204081638</v>
      </c>
      <c r="M178" s="305">
        <v>2.1152691649393205</v>
      </c>
      <c r="N178" s="305">
        <v>4.3211958468239295</v>
      </c>
      <c r="O178" s="311">
        <v>138</v>
      </c>
      <c r="P178" s="305">
        <v>6.2219524793388432</v>
      </c>
      <c r="Q178" s="305">
        <v>7.3566357612651396</v>
      </c>
      <c r="R178" s="312">
        <v>79</v>
      </c>
      <c r="S178" s="305">
        <v>2.6827860026867296</v>
      </c>
      <c r="T178" s="305">
        <v>5.5477208847610902</v>
      </c>
      <c r="U178" s="305">
        <v>8.4081632653061238</v>
      </c>
      <c r="V178" s="305">
        <v>8.7755102040816322</v>
      </c>
      <c r="W178" s="312">
        <v>39</v>
      </c>
      <c r="X178" s="313">
        <v>256</v>
      </c>
      <c r="Y178" s="236">
        <f t="shared" si="5"/>
        <v>18.049416351433415</v>
      </c>
      <c r="Z178" s="25"/>
      <c r="AA178" s="25"/>
      <c r="AB178" s="25"/>
      <c r="AC178" s="25"/>
      <c r="AD178" s="25"/>
      <c r="AE178" s="25"/>
      <c r="AF178" s="25"/>
      <c r="AG178" s="25"/>
      <c r="AH178" s="25"/>
      <c r="AI178" s="25"/>
      <c r="AJ178" s="25"/>
      <c r="AK178" s="25"/>
      <c r="AL178" s="25"/>
      <c r="AM178" s="25"/>
      <c r="AN178" s="25"/>
      <c r="AO178" s="25"/>
      <c r="AP178" s="25"/>
      <c r="AQ178" s="25"/>
      <c r="AR178" s="25"/>
      <c r="AS178" s="25"/>
      <c r="AT178" s="25"/>
      <c r="AU178" s="25"/>
      <c r="AV178" s="25"/>
      <c r="AW178" s="25"/>
    </row>
    <row r="179" spans="1:49" s="13" customFormat="1">
      <c r="A179" s="13">
        <v>183</v>
      </c>
      <c r="B179" s="13">
        <v>0</v>
      </c>
      <c r="C179" s="294" t="s">
        <v>640</v>
      </c>
      <c r="D179" s="294" t="s">
        <v>639</v>
      </c>
      <c r="E179" s="294" t="s">
        <v>109</v>
      </c>
      <c r="F179" s="294" t="s">
        <v>117</v>
      </c>
      <c r="G179" s="350">
        <v>2</v>
      </c>
      <c r="H179" s="351">
        <v>3</v>
      </c>
      <c r="I179">
        <v>0</v>
      </c>
      <c r="J179" s="13">
        <v>0</v>
      </c>
      <c r="K179" s="20">
        <v>8.0047351649001612</v>
      </c>
      <c r="L179" s="20">
        <v>5.8928571428571432</v>
      </c>
      <c r="M179" s="20">
        <v>5.2122938796047027</v>
      </c>
      <c r="N179" s="20">
        <v>6.7621829654895045</v>
      </c>
      <c r="O179" s="311">
        <v>12</v>
      </c>
      <c r="P179" s="20">
        <v>7.3608243801652895</v>
      </c>
      <c r="Q179" s="20">
        <v>5.8817589627852351</v>
      </c>
      <c r="R179" s="312">
        <v>89</v>
      </c>
      <c r="S179" s="20">
        <v>2.7440063798010148</v>
      </c>
      <c r="T179" s="20">
        <v>6.0973053892215567</v>
      </c>
      <c r="U179" s="20">
        <v>8.5714285714285712</v>
      </c>
      <c r="V179" s="20">
        <v>8.5714285714285712</v>
      </c>
      <c r="W179" s="312">
        <v>33</v>
      </c>
      <c r="X179" s="313">
        <v>134</v>
      </c>
      <c r="Y179" s="236">
        <f t="shared" si="5"/>
        <v>18.845818478968042</v>
      </c>
      <c r="Z179" s="25"/>
      <c r="AA179" s="25"/>
      <c r="AB179" s="25"/>
      <c r="AC179" s="25"/>
      <c r="AD179" s="25"/>
      <c r="AE179" s="25"/>
      <c r="AF179" s="25"/>
      <c r="AG179" s="25"/>
      <c r="AH179" s="25"/>
      <c r="AI179" s="25"/>
      <c r="AJ179" s="25"/>
      <c r="AK179" s="25"/>
      <c r="AL179" s="25"/>
      <c r="AM179" s="25"/>
      <c r="AN179" s="25"/>
      <c r="AO179" s="25"/>
      <c r="AP179" s="25"/>
      <c r="AQ179" s="25"/>
      <c r="AR179" s="25"/>
      <c r="AS179" s="25"/>
      <c r="AT179" s="25"/>
      <c r="AU179" s="25"/>
      <c r="AV179" s="25"/>
      <c r="AW179" s="25"/>
    </row>
    <row r="180" spans="1:49" s="13" customFormat="1">
      <c r="A180" s="13">
        <v>184</v>
      </c>
      <c r="B180" s="13">
        <v>0</v>
      </c>
      <c r="C180" s="294" t="s">
        <v>596</v>
      </c>
      <c r="D180" s="294" t="s">
        <v>595</v>
      </c>
      <c r="E180" s="294" t="s">
        <v>115</v>
      </c>
      <c r="F180" s="294" t="s">
        <v>116</v>
      </c>
      <c r="G180" s="350">
        <v>2</v>
      </c>
      <c r="H180" s="351">
        <v>2</v>
      </c>
      <c r="I180">
        <v>0</v>
      </c>
      <c r="J180" s="13">
        <v>0</v>
      </c>
      <c r="K180" s="20">
        <v>7.935792981756741</v>
      </c>
      <c r="L180" s="20">
        <v>7.3587301587301592</v>
      </c>
      <c r="M180" s="20">
        <v>3.2171725425099122</v>
      </c>
      <c r="N180" s="20">
        <v>7.3463346586688996</v>
      </c>
      <c r="O180" s="311">
        <v>13</v>
      </c>
      <c r="P180" s="20">
        <v>7.7756053719008262</v>
      </c>
      <c r="Q180" s="20">
        <v>7.9129851332416665</v>
      </c>
      <c r="R180" s="312">
        <v>8</v>
      </c>
      <c r="S180" s="20">
        <v>4.0889836340028394</v>
      </c>
      <c r="T180" s="20">
        <v>4.9534027183727778</v>
      </c>
      <c r="U180" s="20">
        <v>4.1071428571428568</v>
      </c>
      <c r="V180" s="20">
        <v>8.7301587301587293</v>
      </c>
      <c r="W180" s="312">
        <v>82</v>
      </c>
      <c r="X180" s="313">
        <v>103</v>
      </c>
      <c r="Y180" s="236">
        <f t="shared" si="5"/>
        <v>19.847414703577396</v>
      </c>
      <c r="Z180" s="25"/>
      <c r="AA180" s="25"/>
      <c r="AB180" s="25"/>
      <c r="AC180" s="25"/>
      <c r="AD180" s="25"/>
      <c r="AE180" s="25"/>
      <c r="AF180" s="25"/>
      <c r="AG180" s="25"/>
      <c r="AH180" s="25"/>
      <c r="AI180" s="25"/>
      <c r="AJ180" s="25"/>
      <c r="AK180" s="25"/>
      <c r="AL180" s="25"/>
      <c r="AM180" s="25"/>
      <c r="AN180" s="25"/>
      <c r="AO180" s="25"/>
      <c r="AP180" s="25"/>
      <c r="AQ180" s="25"/>
      <c r="AR180" s="25"/>
      <c r="AS180" s="25"/>
      <c r="AT180" s="25"/>
      <c r="AU180" s="25"/>
      <c r="AV180" s="25"/>
      <c r="AW180" s="25"/>
    </row>
    <row r="181" spans="1:49" s="13" customFormat="1">
      <c r="A181" s="13">
        <v>186</v>
      </c>
      <c r="B181" s="13">
        <v>0</v>
      </c>
      <c r="C181" s="294" t="s">
        <v>420</v>
      </c>
      <c r="D181" s="294" t="s">
        <v>419</v>
      </c>
      <c r="E181" s="294" t="s">
        <v>109</v>
      </c>
      <c r="F181" s="294" t="s">
        <v>141</v>
      </c>
      <c r="G181" s="350">
        <v>3</v>
      </c>
      <c r="H181" s="351">
        <v>3</v>
      </c>
      <c r="I181">
        <v>0</v>
      </c>
      <c r="J181" s="13">
        <v>0</v>
      </c>
      <c r="K181" s="20">
        <v>7.6565091733265147</v>
      </c>
      <c r="L181" s="20">
        <v>4.8278571428571428</v>
      </c>
      <c r="M181" s="20">
        <v>3.7127494258904075</v>
      </c>
      <c r="N181" s="20">
        <v>5.5852578466266198</v>
      </c>
      <c r="O181" s="311">
        <v>63</v>
      </c>
      <c r="P181" s="20">
        <v>7.5433347107438014</v>
      </c>
      <c r="Q181" s="20">
        <v>6.0497466717541775</v>
      </c>
      <c r="R181" s="312">
        <v>78</v>
      </c>
      <c r="S181" s="20">
        <v>3.3334418583532788</v>
      </c>
      <c r="T181" s="20">
        <v>5.5320786997433711</v>
      </c>
      <c r="U181" s="20">
        <v>6.9642857142857135</v>
      </c>
      <c r="V181" s="20">
        <v>7.1428571428571432</v>
      </c>
      <c r="W181" s="312">
        <v>68</v>
      </c>
      <c r="X181" s="313">
        <v>209</v>
      </c>
      <c r="Y181" s="236">
        <f t="shared" si="5"/>
        <v>17.238505922739225</v>
      </c>
      <c r="Z181" s="25"/>
      <c r="AA181" s="25"/>
      <c r="AB181" s="25"/>
      <c r="AC181" s="25"/>
      <c r="AD181" s="25"/>
      <c r="AE181" s="25"/>
      <c r="AF181" s="25"/>
      <c r="AG181" s="25"/>
      <c r="AH181" s="25"/>
      <c r="AI181" s="25"/>
      <c r="AJ181" s="25"/>
      <c r="AK181" s="25"/>
      <c r="AL181" s="25"/>
      <c r="AM181" s="25"/>
      <c r="AN181" s="25"/>
      <c r="AO181" s="25"/>
      <c r="AP181" s="25"/>
      <c r="AQ181" s="25"/>
      <c r="AR181" s="25"/>
      <c r="AS181" s="25"/>
      <c r="AT181" s="25"/>
      <c r="AU181" s="25"/>
      <c r="AV181" s="25"/>
      <c r="AW181" s="25"/>
    </row>
    <row r="182" spans="1:49" s="13" customFormat="1">
      <c r="A182" s="13">
        <v>188</v>
      </c>
      <c r="B182" s="13">
        <v>0</v>
      </c>
      <c r="C182" s="294" t="s">
        <v>356</v>
      </c>
      <c r="D182" s="294" t="s">
        <v>163</v>
      </c>
      <c r="E182" s="294" t="s">
        <v>115</v>
      </c>
      <c r="F182" s="294" t="s">
        <v>118</v>
      </c>
      <c r="G182" s="350">
        <v>3</v>
      </c>
      <c r="H182" s="351">
        <v>3</v>
      </c>
      <c r="I182">
        <v>0</v>
      </c>
      <c r="J182" s="13">
        <v>0</v>
      </c>
      <c r="K182" s="20">
        <v>7.867433303399606</v>
      </c>
      <c r="L182" s="20">
        <v>6.6428571428571432</v>
      </c>
      <c r="M182" s="20">
        <v>3.5844736683667762</v>
      </c>
      <c r="N182" s="20">
        <v>5.2199990167498402</v>
      </c>
      <c r="O182" s="311">
        <v>37</v>
      </c>
      <c r="P182" s="20">
        <v>7.7179049586776856</v>
      </c>
      <c r="Q182" s="20">
        <v>7.4275169061420145</v>
      </c>
      <c r="R182" s="312">
        <v>19</v>
      </c>
      <c r="S182" s="20">
        <v>4.8842109564699747</v>
      </c>
      <c r="T182" s="20">
        <v>4.5496150556030797</v>
      </c>
      <c r="U182" s="20">
        <v>3.9285714285714284</v>
      </c>
      <c r="V182" s="20">
        <v>5.8928571428571432</v>
      </c>
      <c r="W182" s="312">
        <v>109</v>
      </c>
      <c r="X182" s="313">
        <v>165</v>
      </c>
      <c r="Y182" s="236">
        <f t="shared" si="5"/>
        <v>18.070021334860762</v>
      </c>
      <c r="Z182" s="25"/>
      <c r="AA182" s="25"/>
      <c r="AB182" s="25"/>
      <c r="AC182" s="25"/>
      <c r="AD182" s="25"/>
      <c r="AE182" s="25"/>
      <c r="AF182" s="25"/>
      <c r="AG182" s="25"/>
      <c r="AH182" s="25"/>
      <c r="AI182" s="25"/>
      <c r="AJ182" s="25"/>
      <c r="AK182" s="25"/>
      <c r="AL182" s="25"/>
      <c r="AM182" s="25"/>
      <c r="AN182" s="25"/>
      <c r="AO182" s="25"/>
      <c r="AP182" s="25"/>
      <c r="AQ182" s="25"/>
      <c r="AR182" s="25"/>
      <c r="AS182" s="25"/>
      <c r="AT182" s="25"/>
      <c r="AU182" s="25"/>
      <c r="AV182" s="25"/>
      <c r="AW182" s="25"/>
    </row>
    <row r="183" spans="1:49" s="13" customFormat="1">
      <c r="A183" s="13">
        <v>189</v>
      </c>
      <c r="B183" s="13">
        <v>0</v>
      </c>
      <c r="C183" s="294" t="s">
        <v>360</v>
      </c>
      <c r="D183" s="294" t="s">
        <v>164</v>
      </c>
      <c r="E183" s="294" t="s">
        <v>115</v>
      </c>
      <c r="F183" s="294" t="s">
        <v>116</v>
      </c>
      <c r="G183" s="350">
        <v>2</v>
      </c>
      <c r="H183" s="351">
        <v>2</v>
      </c>
      <c r="I183">
        <v>0</v>
      </c>
      <c r="J183" s="13">
        <v>0</v>
      </c>
      <c r="K183" s="305">
        <v>8.0399397907914949</v>
      </c>
      <c r="L183" s="305">
        <v>3.45</v>
      </c>
      <c r="M183" s="305">
        <v>1.9928354563203659</v>
      </c>
      <c r="N183" s="305">
        <v>7.2355125575383283</v>
      </c>
      <c r="O183" s="311">
        <v>81</v>
      </c>
      <c r="P183" s="305">
        <v>6.5357438016528926</v>
      </c>
      <c r="Q183" s="305">
        <v>4.9928537188690303</v>
      </c>
      <c r="R183" s="312">
        <v>137</v>
      </c>
      <c r="S183" s="305">
        <v>4.4008911220615508</v>
      </c>
      <c r="T183" s="305">
        <v>6.9215854006273165</v>
      </c>
      <c r="U183" s="305">
        <v>6.4285714285714288</v>
      </c>
      <c r="V183" s="305">
        <v>7.1428571428571432</v>
      </c>
      <c r="W183" s="312">
        <v>44</v>
      </c>
      <c r="X183" s="313">
        <v>262</v>
      </c>
      <c r="Y183" s="236">
        <f t="shared" si="5"/>
        <v>16.395901943560936</v>
      </c>
      <c r="Z183" s="25"/>
      <c r="AA183" s="25"/>
      <c r="AB183" s="25"/>
      <c r="AC183" s="25"/>
      <c r="AD183" s="25"/>
      <c r="AE183" s="25"/>
      <c r="AF183" s="25"/>
      <c r="AG183" s="25"/>
      <c r="AH183" s="25"/>
      <c r="AI183" s="25"/>
      <c r="AJ183" s="25"/>
      <c r="AK183" s="25"/>
      <c r="AL183" s="25"/>
      <c r="AM183" s="25"/>
      <c r="AN183" s="25"/>
      <c r="AO183" s="25"/>
      <c r="AP183" s="25"/>
      <c r="AQ183" s="25"/>
      <c r="AR183" s="25"/>
      <c r="AS183" s="25"/>
      <c r="AT183" s="25"/>
      <c r="AU183" s="25"/>
      <c r="AV183" s="25"/>
      <c r="AW183" s="25"/>
    </row>
    <row r="184" spans="1:49" s="13" customFormat="1">
      <c r="A184" s="13">
        <v>190</v>
      </c>
      <c r="B184" s="13">
        <v>0</v>
      </c>
      <c r="C184" s="294" t="s">
        <v>652</v>
      </c>
      <c r="D184" s="294" t="s">
        <v>165</v>
      </c>
      <c r="E184" s="294" t="s">
        <v>119</v>
      </c>
      <c r="F184" s="294" t="s">
        <v>125</v>
      </c>
      <c r="G184" s="350">
        <v>3</v>
      </c>
      <c r="H184" s="351">
        <v>3</v>
      </c>
      <c r="I184">
        <v>0</v>
      </c>
      <c r="J184" s="13">
        <v>0</v>
      </c>
      <c r="K184" s="305">
        <v>8.4379364830132424</v>
      </c>
      <c r="L184" s="305">
        <v>6.1714285714285708</v>
      </c>
      <c r="M184" s="305">
        <v>3.0702520921671663</v>
      </c>
      <c r="N184" s="305">
        <v>5.5320724540199588</v>
      </c>
      <c r="O184" s="311">
        <v>39</v>
      </c>
      <c r="P184" s="305">
        <v>7.1831859504132218</v>
      </c>
      <c r="Q184" s="305">
        <v>6.0982669000787526</v>
      </c>
      <c r="R184" s="312">
        <v>88</v>
      </c>
      <c r="S184" s="305">
        <v>4.089574921636415</v>
      </c>
      <c r="T184" s="305">
        <v>5.9797547761619612</v>
      </c>
      <c r="U184" s="305">
        <v>8.5714285714285712</v>
      </c>
      <c r="V184" s="305">
        <v>9.1666666666666661</v>
      </c>
      <c r="W184" s="312">
        <v>14</v>
      </c>
      <c r="X184" s="313">
        <v>141</v>
      </c>
      <c r="Y184" s="236">
        <f t="shared" si="5"/>
        <v>18.853045534209393</v>
      </c>
      <c r="Z184" s="25"/>
      <c r="AA184" s="25"/>
      <c r="AB184" s="25"/>
      <c r="AC184" s="25"/>
      <c r="AD184" s="25"/>
      <c r="AE184" s="25"/>
      <c r="AF184" s="25"/>
      <c r="AG184" s="25"/>
      <c r="AH184" s="25"/>
      <c r="AI184" s="25"/>
      <c r="AJ184" s="25"/>
      <c r="AK184" s="25"/>
      <c r="AL184" s="25"/>
      <c r="AM184" s="25"/>
      <c r="AN184" s="25"/>
      <c r="AO184" s="25"/>
      <c r="AP184" s="25"/>
      <c r="AQ184" s="25"/>
      <c r="AR184" s="25"/>
      <c r="AS184" s="25"/>
      <c r="AT184" s="25"/>
      <c r="AU184" s="25"/>
      <c r="AV184" s="25"/>
      <c r="AW184" s="25"/>
    </row>
    <row r="185" spans="1:49" s="13" customFormat="1">
      <c r="A185" s="13">
        <v>191</v>
      </c>
      <c r="B185" s="13">
        <v>0</v>
      </c>
      <c r="C185" s="294" t="s">
        <v>408</v>
      </c>
      <c r="D185" s="294" t="s">
        <v>407</v>
      </c>
      <c r="E185" s="294" t="s">
        <v>119</v>
      </c>
      <c r="F185" s="294" t="s">
        <v>136</v>
      </c>
      <c r="G185" s="350">
        <v>1</v>
      </c>
      <c r="H185" s="351">
        <v>3</v>
      </c>
      <c r="I185">
        <v>0</v>
      </c>
      <c r="J185" s="13">
        <v>0</v>
      </c>
      <c r="K185" s="20">
        <v>6.3991549990055443</v>
      </c>
      <c r="L185" s="20">
        <v>5.6166666666666671</v>
      </c>
      <c r="M185" s="20">
        <v>3.9517747942236405</v>
      </c>
      <c r="N185" s="20">
        <v>5.3613765334503931</v>
      </c>
      <c r="O185" s="311">
        <v>71</v>
      </c>
      <c r="P185" s="20">
        <v>7.3416342975206614</v>
      </c>
      <c r="Q185" s="20">
        <v>6.8372090093055125</v>
      </c>
      <c r="R185" s="312">
        <v>56</v>
      </c>
      <c r="S185" s="20">
        <v>4.7810257035830102</v>
      </c>
      <c r="T185" s="20">
        <v>5.0687197034502436</v>
      </c>
      <c r="U185" s="20">
        <v>7.8571428571428568</v>
      </c>
      <c r="V185" s="20">
        <v>4.5238095238095237</v>
      </c>
      <c r="W185" s="312">
        <v>76</v>
      </c>
      <c r="X185" s="313">
        <v>203</v>
      </c>
      <c r="Y185" s="236">
        <f t="shared" si="5"/>
        <v>17.727126704638483</v>
      </c>
      <c r="Z185" s="25"/>
      <c r="AA185" s="25"/>
      <c r="AB185" s="25"/>
      <c r="AC185" s="25"/>
      <c r="AD185" s="25"/>
      <c r="AE185" s="25"/>
      <c r="AF185" s="25"/>
      <c r="AG185" s="25"/>
      <c r="AH185" s="25"/>
      <c r="AI185" s="25"/>
      <c r="AJ185" s="25"/>
      <c r="AK185" s="25"/>
      <c r="AL185" s="25"/>
      <c r="AM185" s="25"/>
      <c r="AN185" s="25"/>
      <c r="AO185" s="25"/>
      <c r="AP185" s="25"/>
      <c r="AQ185" s="25"/>
      <c r="AR185" s="25"/>
      <c r="AS185" s="25"/>
      <c r="AT185" s="25"/>
      <c r="AU185" s="25"/>
      <c r="AV185" s="25"/>
      <c r="AW185" s="25"/>
    </row>
    <row r="186" spans="1:49" s="13" customFormat="1">
      <c r="A186" s="295">
        <v>146</v>
      </c>
      <c r="B186" s="295">
        <v>0</v>
      </c>
      <c r="C186" s="296" t="s">
        <v>319</v>
      </c>
      <c r="D186" s="296" t="s">
        <v>318</v>
      </c>
      <c r="E186" s="295" t="s">
        <v>113</v>
      </c>
      <c r="F186" s="295" t="s">
        <v>140</v>
      </c>
      <c r="G186" s="350">
        <v>3</v>
      </c>
      <c r="H186" s="354">
        <v>3</v>
      </c>
      <c r="I186">
        <v>0</v>
      </c>
      <c r="J186" s="295">
        <v>0</v>
      </c>
      <c r="K186" s="20">
        <v>5.5842978778341275</v>
      </c>
      <c r="L186" s="20">
        <v>1</v>
      </c>
      <c r="M186" s="20">
        <v>1.44188376753507</v>
      </c>
      <c r="N186" s="20">
        <v>5.6838287007842281</v>
      </c>
      <c r="O186" s="298">
        <v>167</v>
      </c>
      <c r="P186" s="20">
        <v>1</v>
      </c>
      <c r="Q186" s="20">
        <v>1</v>
      </c>
      <c r="R186" s="312">
        <v>167</v>
      </c>
      <c r="S186" s="20">
        <v>1</v>
      </c>
      <c r="T186" s="20">
        <v>1</v>
      </c>
      <c r="U186" s="20">
        <v>4.6428571428571432</v>
      </c>
      <c r="V186" s="20">
        <v>6.4285714285714288</v>
      </c>
      <c r="W186" s="312">
        <v>151</v>
      </c>
      <c r="X186" s="313">
        <v>485</v>
      </c>
      <c r="Y186" s="236">
        <f t="shared" si="5"/>
        <v>7.6953597293954994</v>
      </c>
      <c r="Z186" s="25"/>
      <c r="AA186" s="25"/>
      <c r="AB186" s="25"/>
      <c r="AC186" s="25"/>
      <c r="AD186" s="25"/>
      <c r="AE186" s="25"/>
      <c r="AF186" s="25"/>
      <c r="AG186" s="25"/>
      <c r="AH186" s="25"/>
      <c r="AI186" s="25"/>
      <c r="AJ186" s="25"/>
      <c r="AK186" s="25"/>
      <c r="AL186" s="25"/>
      <c r="AM186" s="25"/>
      <c r="AN186" s="25"/>
      <c r="AO186" s="25"/>
      <c r="AP186" s="25"/>
      <c r="AQ186" s="25"/>
      <c r="AR186" s="25"/>
      <c r="AS186" s="25"/>
      <c r="AT186" s="25"/>
      <c r="AU186" s="25"/>
      <c r="AV186" s="25"/>
      <c r="AW186" s="25"/>
    </row>
    <row r="187" spans="1:49" s="13" customFormat="1">
      <c r="A187" s="13">
        <v>193</v>
      </c>
      <c r="B187" s="13">
        <v>0</v>
      </c>
      <c r="C187" s="294" t="s">
        <v>370</v>
      </c>
      <c r="D187" s="294" t="s">
        <v>369</v>
      </c>
      <c r="E187" s="294" t="s">
        <v>119</v>
      </c>
      <c r="F187" s="294" t="s">
        <v>136</v>
      </c>
      <c r="G187" s="350">
        <v>3</v>
      </c>
      <c r="H187" s="351">
        <v>3</v>
      </c>
      <c r="I187">
        <v>0</v>
      </c>
      <c r="J187" s="13">
        <v>0</v>
      </c>
      <c r="K187" s="20">
        <v>6.3991549990055443</v>
      </c>
      <c r="L187" s="20">
        <v>6.0095238095238095</v>
      </c>
      <c r="M187" s="20">
        <v>2.0540523106298432</v>
      </c>
      <c r="N187" s="20">
        <v>5.7125622478054225</v>
      </c>
      <c r="O187" s="311">
        <v>94</v>
      </c>
      <c r="P187" s="20">
        <v>7.3843842975206613</v>
      </c>
      <c r="Q187" s="20">
        <v>6.9506989654596714</v>
      </c>
      <c r="R187" s="312">
        <v>48</v>
      </c>
      <c r="S187" s="20">
        <v>4.6701259958568846</v>
      </c>
      <c r="T187" s="20">
        <v>5.0305104077559157</v>
      </c>
      <c r="U187" s="20">
        <v>7.6190476190476186</v>
      </c>
      <c r="V187" s="20">
        <v>4.0476190476190474</v>
      </c>
      <c r="W187" s="312">
        <v>84</v>
      </c>
      <c r="X187" s="313">
        <v>226</v>
      </c>
      <c r="Y187" s="236">
        <f t="shared" si="5"/>
        <v>17.336348074770694</v>
      </c>
      <c r="Z187" s="25"/>
      <c r="AA187" s="25"/>
      <c r="AB187" s="25"/>
      <c r="AC187" s="25"/>
      <c r="AD187" s="25"/>
      <c r="AE187" s="25"/>
      <c r="AF187" s="25"/>
      <c r="AG187" s="25"/>
      <c r="AH187" s="25"/>
      <c r="AI187" s="25"/>
      <c r="AJ187" s="25"/>
      <c r="AK187" s="25"/>
      <c r="AL187" s="25"/>
      <c r="AM187" s="25"/>
      <c r="AN187" s="25"/>
      <c r="AO187" s="25"/>
      <c r="AP187" s="25"/>
      <c r="AQ187" s="25"/>
      <c r="AR187" s="25"/>
      <c r="AS187" s="25"/>
      <c r="AT187" s="25"/>
      <c r="AU187" s="25"/>
      <c r="AV187" s="25"/>
      <c r="AW187" s="25"/>
    </row>
    <row r="188" spans="1:49" s="13" customFormat="1">
      <c r="A188" s="13">
        <v>194</v>
      </c>
      <c r="B188" s="13">
        <v>0</v>
      </c>
      <c r="C188" s="294" t="s">
        <v>466</v>
      </c>
      <c r="D188" s="294" t="s">
        <v>168</v>
      </c>
      <c r="E188" s="294" t="s">
        <v>113</v>
      </c>
      <c r="F188" s="294" t="s">
        <v>114</v>
      </c>
      <c r="G188" s="350">
        <v>4</v>
      </c>
      <c r="H188" s="351">
        <v>3</v>
      </c>
      <c r="I188">
        <v>0</v>
      </c>
      <c r="J188" s="13">
        <v>0</v>
      </c>
      <c r="K188" s="20">
        <v>5.9387477687359951</v>
      </c>
      <c r="L188" s="20">
        <v>5.8009523809523813</v>
      </c>
      <c r="M188" s="20">
        <v>1.8704017477014114</v>
      </c>
      <c r="N188" s="20">
        <v>5.7797339178822451</v>
      </c>
      <c r="O188" s="311">
        <v>111</v>
      </c>
      <c r="P188" s="20">
        <v>6.862384297520661</v>
      </c>
      <c r="Q188" s="20">
        <v>6.6897202206260271</v>
      </c>
      <c r="R188" s="312">
        <v>81</v>
      </c>
      <c r="S188" s="20">
        <v>3.5616055688610166</v>
      </c>
      <c r="T188" s="20">
        <v>4.9728400342172794</v>
      </c>
      <c r="U188" s="20">
        <v>7.1428571428571432</v>
      </c>
      <c r="V188" s="20">
        <v>9.2857142857142865</v>
      </c>
      <c r="W188" s="312">
        <v>43</v>
      </c>
      <c r="X188" s="313">
        <v>235</v>
      </c>
      <c r="Y188" s="236">
        <f t="shared" si="5"/>
        <v>17.777933432356466</v>
      </c>
      <c r="Z188" s="25"/>
      <c r="AA188" s="25"/>
      <c r="AB188" s="25"/>
      <c r="AC188" s="25"/>
      <c r="AD188" s="25"/>
      <c r="AE188" s="25"/>
      <c r="AF188" s="25"/>
      <c r="AG188" s="25"/>
      <c r="AH188" s="25"/>
      <c r="AI188" s="25"/>
      <c r="AJ188" s="25"/>
      <c r="AK188" s="25"/>
      <c r="AL188" s="25"/>
      <c r="AM188" s="25"/>
      <c r="AN188" s="25"/>
      <c r="AO188" s="25"/>
      <c r="AP188" s="25"/>
      <c r="AQ188" s="25"/>
      <c r="AR188" s="25"/>
      <c r="AS188" s="25"/>
      <c r="AT188" s="25"/>
      <c r="AU188" s="25"/>
      <c r="AV188" s="25"/>
      <c r="AW188" s="25"/>
    </row>
    <row r="189" spans="1:49" s="13" customFormat="1">
      <c r="A189" s="13">
        <v>195</v>
      </c>
      <c r="B189" s="13">
        <v>0</v>
      </c>
      <c r="C189" s="294" t="s">
        <v>636</v>
      </c>
      <c r="D189" s="294" t="s">
        <v>635</v>
      </c>
      <c r="E189" s="294" t="s">
        <v>107</v>
      </c>
      <c r="F189" s="294" t="s">
        <v>108</v>
      </c>
      <c r="G189" s="350">
        <v>3</v>
      </c>
      <c r="H189" s="351">
        <v>3</v>
      </c>
      <c r="I189">
        <v>0</v>
      </c>
      <c r="J189" s="13">
        <v>0</v>
      </c>
      <c r="K189" s="305">
        <v>5.4896547528885744</v>
      </c>
      <c r="L189" s="305">
        <v>6.2255102040816324</v>
      </c>
      <c r="M189" s="305">
        <v>3.1804424299242262</v>
      </c>
      <c r="N189" s="305">
        <v>6.8407211160985408</v>
      </c>
      <c r="O189" s="311">
        <v>65</v>
      </c>
      <c r="P189" s="305">
        <v>6.815134297520661</v>
      </c>
      <c r="Q189" s="305">
        <v>7.3830481933876886</v>
      </c>
      <c r="R189" s="312">
        <v>53</v>
      </c>
      <c r="S189" s="305">
        <v>3.5475235993302192</v>
      </c>
      <c r="T189" s="305">
        <v>7.1372357326164</v>
      </c>
      <c r="U189" s="305">
        <v>9.7619047619047628</v>
      </c>
      <c r="V189" s="305">
        <v>8.8435374149659864</v>
      </c>
      <c r="W189" s="312">
        <v>6</v>
      </c>
      <c r="X189" s="313">
        <v>124</v>
      </c>
      <c r="Y189" s="236">
        <f t="shared" si="5"/>
        <v>20.139680696340275</v>
      </c>
      <c r="Z189" s="25"/>
      <c r="AA189" s="25"/>
      <c r="AB189" s="25"/>
      <c r="AC189" s="25"/>
      <c r="AD189" s="25"/>
      <c r="AE189" s="25"/>
      <c r="AF189" s="25"/>
      <c r="AG189" s="25"/>
      <c r="AH189" s="25"/>
      <c r="AI189" s="25"/>
      <c r="AJ189" s="25"/>
      <c r="AK189" s="25"/>
      <c r="AL189" s="25"/>
      <c r="AM189" s="25"/>
      <c r="AN189" s="25"/>
      <c r="AO189" s="25"/>
      <c r="AP189" s="25"/>
      <c r="AQ189" s="25"/>
      <c r="AR189" s="25"/>
      <c r="AS189" s="25"/>
      <c r="AT189" s="25"/>
      <c r="AU189" s="25"/>
      <c r="AV189" s="25"/>
      <c r="AW189" s="25"/>
    </row>
    <row r="190" spans="1:49" s="13" customFormat="1">
      <c r="A190" s="13">
        <v>196</v>
      </c>
      <c r="B190" s="13">
        <v>0</v>
      </c>
      <c r="C190" s="294" t="s">
        <v>416</v>
      </c>
      <c r="D190" s="294" t="s">
        <v>415</v>
      </c>
      <c r="E190" s="294" t="s">
        <v>107</v>
      </c>
      <c r="F190" s="294" t="s">
        <v>108</v>
      </c>
      <c r="G190" s="350">
        <v>4</v>
      </c>
      <c r="H190" s="351">
        <v>3</v>
      </c>
      <c r="I190">
        <v>0</v>
      </c>
      <c r="J190" s="13">
        <v>0</v>
      </c>
      <c r="K190" s="305">
        <v>6.0815594456600008</v>
      </c>
      <c r="L190" s="305">
        <v>5.7095238095238088</v>
      </c>
      <c r="M190" s="305">
        <v>2.6662208537246164</v>
      </c>
      <c r="N190" s="305">
        <v>5.132021326086571</v>
      </c>
      <c r="O190" s="311">
        <v>104</v>
      </c>
      <c r="P190" s="305">
        <v>6.9494834710743802</v>
      </c>
      <c r="Q190" s="305">
        <v>6.6634338603781789</v>
      </c>
      <c r="R190" s="312">
        <v>77</v>
      </c>
      <c r="S190" s="305">
        <v>2.5785815319696517</v>
      </c>
      <c r="T190" s="305">
        <v>6.4500998003992009</v>
      </c>
      <c r="U190" s="305">
        <v>8.3333333333333339</v>
      </c>
      <c r="V190" s="305">
        <v>9.5238095238095237</v>
      </c>
      <c r="W190" s="312">
        <v>25</v>
      </c>
      <c r="X190" s="313">
        <v>206</v>
      </c>
      <c r="Y190" s="236">
        <f t="shared" si="5"/>
        <v>18.282221266504855</v>
      </c>
      <c r="Z190" s="25"/>
      <c r="AA190" s="25"/>
      <c r="AB190" s="25"/>
      <c r="AC190" s="25"/>
      <c r="AD190" s="25"/>
      <c r="AE190" s="25"/>
      <c r="AF190" s="25"/>
      <c r="AG190" s="25"/>
      <c r="AH190" s="25"/>
      <c r="AI190" s="25"/>
      <c r="AJ190" s="25"/>
      <c r="AK190" s="25"/>
      <c r="AL190" s="25"/>
      <c r="AM190" s="25"/>
      <c r="AN190" s="25"/>
      <c r="AO190" s="25"/>
      <c r="AP190" s="25"/>
      <c r="AQ190" s="25"/>
      <c r="AR190" s="25"/>
      <c r="AS190" s="25"/>
      <c r="AT190" s="25"/>
      <c r="AU190" s="25"/>
      <c r="AV190" s="25"/>
      <c r="AW190" s="25"/>
    </row>
    <row r="191" spans="1:49" s="13" customFormat="1">
      <c r="A191" s="13">
        <v>197</v>
      </c>
      <c r="B191" s="13">
        <v>0</v>
      </c>
      <c r="C191" s="294" t="s">
        <v>247</v>
      </c>
      <c r="D191" s="294" t="s">
        <v>246</v>
      </c>
      <c r="E191" s="294" t="s">
        <v>107</v>
      </c>
      <c r="F191" s="294" t="s">
        <v>108</v>
      </c>
      <c r="G191" s="350">
        <v>4</v>
      </c>
      <c r="H191" s="351">
        <v>4</v>
      </c>
      <c r="I191">
        <v>0</v>
      </c>
      <c r="J191" s="13">
        <v>0</v>
      </c>
      <c r="K191" s="20">
        <v>7.9485992372710212</v>
      </c>
      <c r="L191" s="20">
        <v>3.873333333333334</v>
      </c>
      <c r="M191" s="20">
        <v>3.2783893968193896</v>
      </c>
      <c r="N191" s="20">
        <v>4.961100218754332</v>
      </c>
      <c r="O191" s="311">
        <v>95</v>
      </c>
      <c r="P191" s="20">
        <v>6.6599028925619832</v>
      </c>
      <c r="Q191" s="20">
        <v>3.2709959112038773</v>
      </c>
      <c r="R191" s="312">
        <v>144</v>
      </c>
      <c r="S191" s="20">
        <v>2.3560475532567011</v>
      </c>
      <c r="T191" s="20">
        <v>5.7119332763045332</v>
      </c>
      <c r="U191" s="20">
        <v>6.5476190476190492</v>
      </c>
      <c r="V191" s="20">
        <v>7.3809523809523805</v>
      </c>
      <c r="W191" s="312">
        <v>80</v>
      </c>
      <c r="X191" s="313">
        <v>319</v>
      </c>
      <c r="Y191" s="236">
        <f t="shared" si="5"/>
        <v>13.785489522281562</v>
      </c>
      <c r="Z191" s="25"/>
      <c r="AA191" s="25"/>
      <c r="AB191" s="25"/>
      <c r="AC191" s="25"/>
      <c r="AD191" s="25"/>
      <c r="AE191" s="25"/>
      <c r="AF191" s="25"/>
      <c r="AG191" s="25"/>
      <c r="AH191" s="25"/>
      <c r="AI191" s="25"/>
      <c r="AJ191" s="25"/>
      <c r="AK191" s="25"/>
      <c r="AL191" s="25"/>
      <c r="AM191" s="25"/>
      <c r="AN191" s="25"/>
      <c r="AO191" s="25"/>
      <c r="AP191" s="25"/>
      <c r="AQ191" s="25"/>
      <c r="AR191" s="25"/>
      <c r="AS191" s="25"/>
      <c r="AT191" s="25"/>
      <c r="AU191" s="25"/>
      <c r="AV191" s="25"/>
      <c r="AW191" s="25"/>
    </row>
    <row r="192" spans="1:49" s="278" customFormat="1">
      <c r="A192" s="278">
        <v>113</v>
      </c>
      <c r="B192" s="278">
        <v>2</v>
      </c>
      <c r="C192" s="279" t="s">
        <v>303</v>
      </c>
      <c r="D192" s="279" t="s">
        <v>302</v>
      </c>
      <c r="E192" s="279" t="s">
        <v>119</v>
      </c>
      <c r="F192" s="279" t="s">
        <v>136</v>
      </c>
      <c r="G192" s="357"/>
      <c r="H192" s="357">
        <v>3</v>
      </c>
      <c r="I192" s="278">
        <v>0</v>
      </c>
      <c r="J192" s="278">
        <v>0</v>
      </c>
      <c r="K192" s="314">
        <v>1</v>
      </c>
      <c r="L192" s="314">
        <v>1</v>
      </c>
      <c r="M192" s="314">
        <v>1</v>
      </c>
      <c r="N192" s="314">
        <v>1</v>
      </c>
      <c r="O192" s="315">
        <v>168</v>
      </c>
      <c r="P192" s="314">
        <v>1</v>
      </c>
      <c r="Q192" s="314">
        <v>1</v>
      </c>
      <c r="R192" s="315">
        <v>168</v>
      </c>
      <c r="S192" s="314">
        <v>1</v>
      </c>
      <c r="T192" s="314">
        <v>1</v>
      </c>
      <c r="U192" s="314">
        <v>1</v>
      </c>
      <c r="V192" s="314">
        <v>1</v>
      </c>
      <c r="W192" s="315">
        <v>168</v>
      </c>
      <c r="X192" s="316">
        <v>504</v>
      </c>
      <c r="Y192" s="280">
        <f t="shared" si="5"/>
        <v>3</v>
      </c>
      <c r="Z192" s="25"/>
      <c r="AA192" s="25"/>
      <c r="AB192" s="25"/>
      <c r="AC192" s="25"/>
      <c r="AD192" s="25"/>
      <c r="AE192" s="25"/>
      <c r="AF192" s="25"/>
      <c r="AG192" s="25"/>
      <c r="AH192" s="25"/>
      <c r="AI192" s="25"/>
      <c r="AJ192" s="25"/>
      <c r="AK192" s="25"/>
      <c r="AL192" s="25"/>
      <c r="AM192" s="25"/>
      <c r="AN192" s="25"/>
      <c r="AO192" s="25"/>
      <c r="AP192" s="25"/>
      <c r="AQ192" s="25"/>
      <c r="AR192" s="25"/>
      <c r="AS192" s="25"/>
      <c r="AT192" s="25"/>
      <c r="AU192" s="25"/>
      <c r="AV192" s="25"/>
      <c r="AW192" s="25"/>
    </row>
    <row r="193" spans="1:49" s="278" customFormat="1">
      <c r="A193" s="278">
        <v>129</v>
      </c>
      <c r="B193" s="278">
        <v>2</v>
      </c>
      <c r="C193" s="279" t="s">
        <v>149</v>
      </c>
      <c r="D193" s="279" t="s">
        <v>150</v>
      </c>
      <c r="E193" s="279" t="s">
        <v>119</v>
      </c>
      <c r="F193" s="279" t="s">
        <v>136</v>
      </c>
      <c r="G193" s="357"/>
      <c r="H193" s="357"/>
      <c r="I193" s="278">
        <v>0</v>
      </c>
      <c r="J193" s="278">
        <v>0</v>
      </c>
      <c r="K193" s="314">
        <v>1</v>
      </c>
      <c r="L193" s="314">
        <v>1</v>
      </c>
      <c r="M193" s="314">
        <v>1</v>
      </c>
      <c r="N193" s="314">
        <v>1</v>
      </c>
      <c r="O193" s="316">
        <v>999</v>
      </c>
      <c r="P193" s="314">
        <v>1</v>
      </c>
      <c r="Q193" s="314">
        <v>1</v>
      </c>
      <c r="R193" s="316">
        <v>999</v>
      </c>
      <c r="S193" s="314">
        <v>1</v>
      </c>
      <c r="T193" s="314">
        <v>1</v>
      </c>
      <c r="U193" s="314">
        <v>1</v>
      </c>
      <c r="V193" s="314">
        <v>1</v>
      </c>
      <c r="W193" s="316">
        <v>999</v>
      </c>
      <c r="X193" s="316">
        <v>999</v>
      </c>
      <c r="Y193" s="280">
        <f t="shared" si="5"/>
        <v>3</v>
      </c>
      <c r="Z193" s="25"/>
      <c r="AA193" s="25"/>
      <c r="AB193" s="25"/>
      <c r="AC193" s="25"/>
      <c r="AD193" s="25"/>
      <c r="AE193" s="25"/>
      <c r="AF193" s="25"/>
      <c r="AG193" s="25"/>
      <c r="AH193" s="25"/>
      <c r="AI193" s="25"/>
      <c r="AJ193" s="25"/>
      <c r="AK193" s="25"/>
      <c r="AL193" s="25"/>
      <c r="AM193" s="25"/>
      <c r="AN193" s="25"/>
      <c r="AO193" s="25"/>
      <c r="AP193" s="25"/>
      <c r="AQ193" s="25"/>
      <c r="AR193" s="25"/>
      <c r="AS193" s="25"/>
      <c r="AT193" s="25"/>
      <c r="AU193" s="25"/>
      <c r="AV193" s="25"/>
      <c r="AW193" s="25"/>
    </row>
    <row r="194" spans="1:49" s="278" customFormat="1">
      <c r="A194" s="278">
        <v>133</v>
      </c>
      <c r="B194" s="278">
        <v>2</v>
      </c>
      <c r="C194" s="279" t="s">
        <v>151</v>
      </c>
      <c r="D194" s="279" t="s">
        <v>152</v>
      </c>
      <c r="E194" s="279" t="s">
        <v>119</v>
      </c>
      <c r="F194" s="279" t="s">
        <v>136</v>
      </c>
      <c r="G194" s="357"/>
      <c r="H194" s="357"/>
      <c r="I194" s="278">
        <v>0</v>
      </c>
      <c r="J194" s="278">
        <v>0</v>
      </c>
      <c r="K194" s="314">
        <v>1</v>
      </c>
      <c r="L194" s="314">
        <v>1</v>
      </c>
      <c r="M194" s="314">
        <v>1</v>
      </c>
      <c r="N194" s="314">
        <v>1</v>
      </c>
      <c r="O194" s="316">
        <v>999</v>
      </c>
      <c r="P194" s="314">
        <v>1</v>
      </c>
      <c r="Q194" s="314">
        <v>1</v>
      </c>
      <c r="R194" s="316">
        <v>999</v>
      </c>
      <c r="S194" s="314">
        <v>1</v>
      </c>
      <c r="T194" s="314">
        <v>1</v>
      </c>
      <c r="U194" s="314">
        <v>1</v>
      </c>
      <c r="V194" s="314">
        <v>1</v>
      </c>
      <c r="W194" s="316">
        <v>999</v>
      </c>
      <c r="X194" s="316">
        <v>999</v>
      </c>
      <c r="Y194" s="280">
        <f t="shared" si="5"/>
        <v>3</v>
      </c>
      <c r="Z194" s="25"/>
      <c r="AA194" s="25"/>
      <c r="AB194" s="25"/>
      <c r="AC194" s="25"/>
      <c r="AD194" s="25"/>
      <c r="AE194" s="25"/>
      <c r="AF194" s="25"/>
      <c r="AG194" s="25"/>
      <c r="AH194" s="25"/>
      <c r="AI194" s="25"/>
      <c r="AJ194" s="25"/>
      <c r="AK194" s="25"/>
      <c r="AL194" s="25"/>
      <c r="AM194" s="25"/>
      <c r="AN194" s="25"/>
      <c r="AO194" s="25"/>
      <c r="AP194" s="25"/>
      <c r="AQ194" s="25"/>
      <c r="AR194" s="25"/>
      <c r="AS194" s="25"/>
      <c r="AT194" s="25"/>
      <c r="AU194" s="25"/>
      <c r="AV194" s="25"/>
      <c r="AW194" s="25"/>
    </row>
    <row r="195" spans="1:49" s="278" customFormat="1">
      <c r="A195" s="278">
        <v>180</v>
      </c>
      <c r="B195" s="278">
        <v>2</v>
      </c>
      <c r="C195" s="279" t="s">
        <v>158</v>
      </c>
      <c r="D195" s="279" t="s">
        <v>159</v>
      </c>
      <c r="E195" s="279" t="s">
        <v>119</v>
      </c>
      <c r="F195" s="279" t="s">
        <v>136</v>
      </c>
      <c r="G195" s="357"/>
      <c r="H195" s="357"/>
      <c r="I195" s="278">
        <v>0</v>
      </c>
      <c r="J195" s="278">
        <v>0</v>
      </c>
      <c r="K195" s="314">
        <v>1</v>
      </c>
      <c r="L195" s="314">
        <v>1</v>
      </c>
      <c r="M195" s="314">
        <v>1</v>
      </c>
      <c r="N195" s="314">
        <v>1</v>
      </c>
      <c r="O195" s="316">
        <v>999</v>
      </c>
      <c r="P195" s="314">
        <v>1</v>
      </c>
      <c r="Q195" s="314">
        <v>1</v>
      </c>
      <c r="R195" s="316">
        <v>999</v>
      </c>
      <c r="S195" s="314">
        <v>1</v>
      </c>
      <c r="T195" s="314">
        <v>1</v>
      </c>
      <c r="U195" s="314">
        <v>1</v>
      </c>
      <c r="V195" s="314">
        <v>1</v>
      </c>
      <c r="W195" s="316">
        <v>999</v>
      </c>
      <c r="X195" s="316">
        <v>999</v>
      </c>
      <c r="Y195" s="280">
        <f t="shared" si="5"/>
        <v>3</v>
      </c>
      <c r="Z195" s="25"/>
      <c r="AA195" s="25"/>
      <c r="AB195" s="25"/>
      <c r="AC195" s="25"/>
      <c r="AD195" s="25"/>
      <c r="AE195" s="25"/>
      <c r="AF195" s="25"/>
      <c r="AG195" s="25"/>
      <c r="AH195" s="25"/>
      <c r="AI195" s="25"/>
      <c r="AJ195" s="25"/>
      <c r="AK195" s="25"/>
      <c r="AL195" s="25"/>
      <c r="AM195" s="25"/>
      <c r="AN195" s="25"/>
      <c r="AO195" s="25"/>
      <c r="AP195" s="25"/>
      <c r="AQ195" s="25"/>
      <c r="AR195" s="25"/>
      <c r="AS195" s="25"/>
      <c r="AT195" s="25"/>
      <c r="AU195" s="25"/>
      <c r="AV195" s="25"/>
      <c r="AW195" s="25"/>
    </row>
    <row r="196" spans="1:49" s="278" customFormat="1">
      <c r="A196" s="278">
        <v>187</v>
      </c>
      <c r="B196" s="278">
        <v>2</v>
      </c>
      <c r="C196" s="279" t="s">
        <v>161</v>
      </c>
      <c r="D196" s="279" t="s">
        <v>162</v>
      </c>
      <c r="E196" s="279" t="s">
        <v>111</v>
      </c>
      <c r="F196" s="279" t="s">
        <v>112</v>
      </c>
      <c r="G196" s="357"/>
      <c r="H196" s="357"/>
      <c r="I196" s="278">
        <v>0</v>
      </c>
      <c r="J196" s="278">
        <v>0</v>
      </c>
      <c r="K196" s="314">
        <v>1</v>
      </c>
      <c r="L196" s="314">
        <v>1</v>
      </c>
      <c r="M196" s="314">
        <v>1</v>
      </c>
      <c r="N196" s="314">
        <v>1</v>
      </c>
      <c r="O196" s="316">
        <v>999</v>
      </c>
      <c r="P196" s="314">
        <v>1</v>
      </c>
      <c r="Q196" s="314">
        <v>1</v>
      </c>
      <c r="R196" s="316">
        <v>999</v>
      </c>
      <c r="S196" s="314">
        <v>1</v>
      </c>
      <c r="T196" s="314">
        <v>1</v>
      </c>
      <c r="U196" s="314">
        <v>1</v>
      </c>
      <c r="V196" s="314">
        <v>1</v>
      </c>
      <c r="W196" s="316">
        <v>999</v>
      </c>
      <c r="X196" s="316">
        <v>999</v>
      </c>
      <c r="Y196" s="280">
        <f t="shared" si="5"/>
        <v>3</v>
      </c>
      <c r="Z196" s="25"/>
      <c r="AA196" s="25"/>
      <c r="AB196" s="25"/>
      <c r="AC196" s="25"/>
      <c r="AD196" s="25"/>
      <c r="AE196" s="25"/>
      <c r="AF196" s="25"/>
      <c r="AG196" s="25"/>
      <c r="AH196" s="25"/>
      <c r="AI196" s="25"/>
      <c r="AJ196" s="25"/>
      <c r="AK196" s="25"/>
      <c r="AL196" s="25"/>
      <c r="AM196" s="25"/>
      <c r="AN196" s="25"/>
      <c r="AO196" s="25"/>
      <c r="AP196" s="25"/>
      <c r="AQ196" s="25"/>
      <c r="AR196" s="25"/>
      <c r="AS196" s="25"/>
      <c r="AT196" s="25"/>
      <c r="AU196" s="25"/>
      <c r="AV196" s="25"/>
      <c r="AW196" s="25"/>
    </row>
    <row r="197" spans="1:49" s="278" customFormat="1">
      <c r="A197" s="278">
        <v>192</v>
      </c>
      <c r="B197" s="278">
        <v>2</v>
      </c>
      <c r="C197" s="279" t="s">
        <v>166</v>
      </c>
      <c r="D197" s="279" t="s">
        <v>167</v>
      </c>
      <c r="E197" s="279" t="s">
        <v>119</v>
      </c>
      <c r="F197" s="279" t="s">
        <v>136</v>
      </c>
      <c r="G197" s="357"/>
      <c r="H197" s="357"/>
      <c r="I197" s="278">
        <v>0</v>
      </c>
      <c r="J197" s="278">
        <v>0</v>
      </c>
      <c r="K197" s="314">
        <v>1</v>
      </c>
      <c r="L197" s="314">
        <v>1</v>
      </c>
      <c r="M197" s="314">
        <v>1</v>
      </c>
      <c r="N197" s="314">
        <v>1</v>
      </c>
      <c r="O197" s="316">
        <v>999</v>
      </c>
      <c r="P197" s="314">
        <v>1</v>
      </c>
      <c r="Q197" s="314">
        <v>1</v>
      </c>
      <c r="R197" s="316">
        <v>999</v>
      </c>
      <c r="S197" s="314">
        <v>1</v>
      </c>
      <c r="T197" s="314">
        <v>1</v>
      </c>
      <c r="U197" s="314">
        <v>1</v>
      </c>
      <c r="V197" s="314">
        <v>1</v>
      </c>
      <c r="W197" s="316">
        <v>999</v>
      </c>
      <c r="X197" s="316">
        <v>999</v>
      </c>
      <c r="Y197" s="280">
        <f t="shared" si="5"/>
        <v>3</v>
      </c>
      <c r="Z197" s="25"/>
      <c r="AA197" s="25"/>
      <c r="AB197" s="25"/>
      <c r="AC197" s="25"/>
      <c r="AD197" s="25"/>
      <c r="AE197" s="25"/>
      <c r="AF197" s="25"/>
      <c r="AG197" s="25"/>
      <c r="AH197" s="25"/>
      <c r="AI197" s="25"/>
      <c r="AJ197" s="25"/>
      <c r="AK197" s="25"/>
      <c r="AL197" s="25"/>
      <c r="AM197" s="25"/>
      <c r="AN197" s="25"/>
      <c r="AO197" s="25"/>
      <c r="AP197" s="25"/>
      <c r="AQ197" s="25"/>
      <c r="AR197" s="25"/>
      <c r="AS197" s="25"/>
      <c r="AT197" s="25"/>
      <c r="AU197" s="25"/>
      <c r="AV197" s="25"/>
      <c r="AW197" s="25"/>
    </row>
    <row r="198" spans="1:49" s="25" customFormat="1">
      <c r="A198" s="334"/>
      <c r="B198" s="334"/>
      <c r="C198" s="334"/>
      <c r="D198" s="334"/>
      <c r="E198" s="334"/>
      <c r="F198" s="334"/>
      <c r="G198" s="304"/>
      <c r="H198" s="338"/>
      <c r="J198" s="334"/>
      <c r="K198" s="338"/>
      <c r="L198" s="338"/>
      <c r="M198" s="338"/>
      <c r="N198" s="338"/>
      <c r="O198" s="338"/>
      <c r="P198" s="338"/>
      <c r="Q198" s="338"/>
      <c r="R198" s="338"/>
      <c r="S198" s="338"/>
      <c r="T198" s="338"/>
      <c r="U198" s="338"/>
      <c r="V198" s="338"/>
      <c r="W198" s="338"/>
      <c r="X198" s="338"/>
      <c r="Y198" s="338"/>
    </row>
    <row r="199" spans="1:49" s="13" customFormat="1">
      <c r="A199" s="261"/>
      <c r="B199" s="261"/>
      <c r="C199" s="261"/>
      <c r="D199" s="261"/>
      <c r="E199" s="261"/>
      <c r="F199" s="261"/>
      <c r="G199" s="262"/>
      <c r="H199"/>
      <c r="I199"/>
      <c r="J199" s="261"/>
      <c r="K199" s="236"/>
      <c r="L199" s="236"/>
      <c r="M199" s="236"/>
      <c r="N199" s="236"/>
      <c r="O199" s="236"/>
      <c r="P199" s="236"/>
      <c r="Q199" s="236"/>
      <c r="R199" s="236"/>
      <c r="S199" s="236"/>
      <c r="T199" s="236"/>
      <c r="U199" s="236"/>
      <c r="V199" s="236"/>
      <c r="W199" s="236"/>
      <c r="X199" s="236"/>
      <c r="Y199" s="236"/>
      <c r="Z199" s="25"/>
      <c r="AA199" s="25"/>
      <c r="AB199" s="25"/>
      <c r="AC199" s="25"/>
      <c r="AD199" s="25"/>
      <c r="AE199" s="25"/>
      <c r="AF199" s="25"/>
      <c r="AG199" s="25"/>
      <c r="AH199" s="25"/>
      <c r="AI199" s="25"/>
      <c r="AJ199" s="25"/>
      <c r="AK199" s="25"/>
      <c r="AL199" s="25"/>
      <c r="AM199" s="25"/>
      <c r="AN199" s="25"/>
      <c r="AO199" s="25"/>
      <c r="AP199" s="25"/>
      <c r="AQ199" s="25"/>
      <c r="AR199" s="25"/>
      <c r="AS199" s="25"/>
      <c r="AT199" s="25"/>
      <c r="AU199" s="25"/>
      <c r="AV199" s="25"/>
      <c r="AW199" s="25"/>
    </row>
    <row r="200" spans="1:49" s="13" customFormat="1">
      <c r="A200" s="261"/>
      <c r="B200" s="261"/>
      <c r="C200" s="261"/>
      <c r="D200" s="261"/>
      <c r="E200" s="261"/>
      <c r="F200" s="261"/>
      <c r="G200" s="262"/>
      <c r="H200"/>
      <c r="I200"/>
      <c r="J200" s="261"/>
      <c r="K200" s="236"/>
      <c r="L200" s="236"/>
      <c r="M200" s="236"/>
      <c r="N200" s="236"/>
      <c r="O200" s="236"/>
      <c r="P200" s="236"/>
      <c r="Q200" s="236"/>
      <c r="R200" s="236"/>
      <c r="S200" s="236"/>
      <c r="T200" s="236"/>
      <c r="U200" s="236"/>
      <c r="V200" s="236"/>
      <c r="W200" s="236"/>
      <c r="X200" s="236"/>
      <c r="Y200" s="236"/>
      <c r="Z200" s="25"/>
      <c r="AA200" s="25"/>
      <c r="AB200" s="25"/>
      <c r="AC200" s="25"/>
      <c r="AD200" s="25"/>
      <c r="AE200" s="25"/>
      <c r="AF200" s="25"/>
      <c r="AG200" s="25"/>
      <c r="AH200" s="25"/>
      <c r="AI200" s="25"/>
      <c r="AJ200" s="25"/>
      <c r="AK200" s="25"/>
      <c r="AL200" s="25"/>
      <c r="AM200" s="25"/>
      <c r="AN200" s="25"/>
      <c r="AO200" s="25"/>
      <c r="AP200" s="25"/>
      <c r="AQ200" s="25"/>
      <c r="AR200" s="25"/>
      <c r="AS200" s="25"/>
      <c r="AT200" s="25"/>
      <c r="AU200" s="25"/>
      <c r="AV200" s="25"/>
      <c r="AW200" s="25"/>
    </row>
    <row r="201" spans="1:49" s="13" customFormat="1">
      <c r="A201" s="261"/>
      <c r="B201" s="261"/>
      <c r="C201" s="261"/>
      <c r="D201" s="261"/>
      <c r="E201" s="261"/>
      <c r="F201" s="261"/>
      <c r="G201" s="262"/>
      <c r="H201"/>
      <c r="I201"/>
      <c r="J201" s="261"/>
      <c r="K201" s="236"/>
      <c r="L201" s="236"/>
      <c r="M201" s="236"/>
      <c r="N201" s="236"/>
      <c r="O201" s="236"/>
      <c r="P201" s="236"/>
      <c r="Q201" s="236"/>
      <c r="R201" s="236"/>
      <c r="S201" s="236"/>
      <c r="T201" s="236"/>
      <c r="U201" s="236"/>
      <c r="V201" s="236"/>
      <c r="W201" s="236"/>
      <c r="X201" s="236"/>
      <c r="Y201" s="236"/>
      <c r="Z201" s="25"/>
      <c r="AA201" s="25"/>
      <c r="AB201" s="25"/>
      <c r="AC201" s="25"/>
      <c r="AD201" s="25"/>
      <c r="AE201" s="25"/>
      <c r="AF201" s="25"/>
      <c r="AG201" s="25"/>
      <c r="AH201" s="25"/>
      <c r="AI201" s="25"/>
      <c r="AJ201" s="25"/>
      <c r="AK201" s="25"/>
      <c r="AL201" s="25"/>
      <c r="AM201" s="25"/>
      <c r="AN201" s="25"/>
      <c r="AO201" s="25"/>
      <c r="AP201" s="25"/>
      <c r="AQ201" s="25"/>
      <c r="AR201" s="25"/>
      <c r="AS201" s="25"/>
      <c r="AT201" s="25"/>
      <c r="AU201" s="25"/>
      <c r="AV201" s="25"/>
      <c r="AW201" s="25"/>
    </row>
    <row r="202" spans="1:49" s="13" customFormat="1">
      <c r="A202" s="261" t="s">
        <v>56</v>
      </c>
      <c r="B202" s="261"/>
      <c r="C202" s="261"/>
      <c r="D202" s="261"/>
      <c r="E202" s="261"/>
      <c r="F202" s="261"/>
      <c r="G202" s="262"/>
      <c r="H202"/>
      <c r="I202"/>
      <c r="J202" s="261"/>
      <c r="K202" s="236"/>
      <c r="L202" s="236"/>
      <c r="M202" s="236"/>
      <c r="N202" s="236"/>
      <c r="O202" s="236"/>
      <c r="P202" s="236"/>
      <c r="Q202" s="236"/>
      <c r="R202" s="236"/>
      <c r="S202" s="236"/>
      <c r="T202" s="236"/>
      <c r="U202" s="236"/>
      <c r="V202" s="236"/>
      <c r="W202" s="236"/>
      <c r="X202" s="236"/>
      <c r="Y202" s="236"/>
      <c r="Z202" s="25"/>
      <c r="AA202" s="25"/>
      <c r="AB202" s="25"/>
      <c r="AC202" s="25"/>
      <c r="AD202" s="25"/>
      <c r="AE202" s="25"/>
      <c r="AF202" s="25"/>
      <c r="AG202" s="25"/>
      <c r="AH202" s="25"/>
      <c r="AI202" s="25"/>
      <c r="AJ202" s="25"/>
      <c r="AK202" s="25"/>
      <c r="AL202" s="25"/>
      <c r="AM202" s="25"/>
      <c r="AN202" s="25"/>
      <c r="AO202" s="25"/>
      <c r="AP202" s="25"/>
      <c r="AQ202" s="25"/>
      <c r="AR202" s="25"/>
      <c r="AS202" s="25"/>
      <c r="AT202" s="25"/>
      <c r="AU202" s="25"/>
      <c r="AV202" s="25"/>
      <c r="AW202" s="25"/>
    </row>
    <row r="203" spans="1:49">
      <c r="A203" s="256">
        <v>198</v>
      </c>
      <c r="B203" s="256">
        <v>1</v>
      </c>
      <c r="C203" s="257" t="s">
        <v>169</v>
      </c>
      <c r="D203" s="257" t="s">
        <v>170</v>
      </c>
      <c r="E203" s="257" t="s">
        <v>115</v>
      </c>
      <c r="F203" s="257" t="s">
        <v>118</v>
      </c>
      <c r="G203" s="254"/>
    </row>
    <row r="204" spans="1:49">
      <c r="A204" s="256">
        <v>199</v>
      </c>
      <c r="B204" s="256">
        <v>1</v>
      </c>
      <c r="C204" s="257" t="s">
        <v>171</v>
      </c>
      <c r="D204" s="257" t="s">
        <v>172</v>
      </c>
      <c r="E204" s="257" t="s">
        <v>115</v>
      </c>
      <c r="F204" s="257" t="s">
        <v>118</v>
      </c>
      <c r="G204" s="254"/>
    </row>
    <row r="205" spans="1:49">
      <c r="A205" s="256">
        <v>200</v>
      </c>
      <c r="B205" s="256">
        <v>1</v>
      </c>
      <c r="C205" s="257" t="s">
        <v>173</v>
      </c>
      <c r="D205" s="257" t="s">
        <v>174</v>
      </c>
      <c r="E205" s="257" t="s">
        <v>115</v>
      </c>
      <c r="F205" s="257" t="s">
        <v>118</v>
      </c>
      <c r="G205" s="254"/>
    </row>
    <row r="206" spans="1:49">
      <c r="A206" s="256">
        <v>201</v>
      </c>
      <c r="B206" s="256">
        <v>1</v>
      </c>
      <c r="C206" s="257" t="s">
        <v>175</v>
      </c>
      <c r="D206" s="257" t="s">
        <v>176</v>
      </c>
      <c r="E206" s="257" t="s">
        <v>119</v>
      </c>
      <c r="F206" s="257" t="s">
        <v>136</v>
      </c>
      <c r="G206" s="254"/>
      <c r="O206" s="259"/>
    </row>
    <row r="207" spans="1:49">
      <c r="A207" s="256">
        <v>202</v>
      </c>
      <c r="B207" s="256">
        <v>1</v>
      </c>
      <c r="C207" s="257" t="s">
        <v>480</v>
      </c>
      <c r="D207" s="257" t="s">
        <v>479</v>
      </c>
      <c r="E207" s="257" t="s">
        <v>127</v>
      </c>
      <c r="F207" s="257" t="s">
        <v>118</v>
      </c>
      <c r="G207" s="254"/>
      <c r="O207" s="260"/>
    </row>
    <row r="208" spans="1:49">
      <c r="A208" s="256">
        <v>203</v>
      </c>
      <c r="B208" s="256">
        <v>1</v>
      </c>
      <c r="C208" s="257" t="s">
        <v>177</v>
      </c>
      <c r="D208" s="257" t="s">
        <v>178</v>
      </c>
      <c r="E208" s="257" t="s">
        <v>119</v>
      </c>
      <c r="F208" s="257" t="s">
        <v>136</v>
      </c>
      <c r="G208" s="254"/>
      <c r="O208" s="260"/>
    </row>
    <row r="209" spans="1:15">
      <c r="A209" s="256">
        <v>204</v>
      </c>
      <c r="B209" s="256">
        <v>1</v>
      </c>
      <c r="C209" s="257" t="s">
        <v>324</v>
      </c>
      <c r="D209" s="257" t="s">
        <v>323</v>
      </c>
      <c r="E209" s="257" t="s">
        <v>115</v>
      </c>
      <c r="F209" s="257" t="s">
        <v>118</v>
      </c>
      <c r="G209" s="254"/>
      <c r="O209" s="260"/>
    </row>
    <row r="210" spans="1:15">
      <c r="A210" s="256">
        <v>205</v>
      </c>
      <c r="B210" s="256">
        <v>1</v>
      </c>
      <c r="C210" s="257" t="s">
        <v>179</v>
      </c>
      <c r="D210" s="257" t="s">
        <v>180</v>
      </c>
      <c r="E210" s="257" t="s">
        <v>113</v>
      </c>
      <c r="F210" s="257" t="s">
        <v>134</v>
      </c>
      <c r="G210" s="254"/>
      <c r="O210" s="260"/>
    </row>
    <row r="211" spans="1:15">
      <c r="A211" s="256">
        <v>206</v>
      </c>
      <c r="B211" s="256">
        <v>1</v>
      </c>
      <c r="C211" s="257" t="s">
        <v>181</v>
      </c>
      <c r="D211" s="257" t="s">
        <v>0</v>
      </c>
      <c r="E211" s="257" t="s">
        <v>115</v>
      </c>
      <c r="F211" s="257" t="s">
        <v>116</v>
      </c>
      <c r="G211" s="254"/>
      <c r="O211" s="260"/>
    </row>
    <row r="212" spans="1:15">
      <c r="A212" s="256">
        <v>207</v>
      </c>
      <c r="B212" s="256">
        <v>1</v>
      </c>
      <c r="C212" s="257" t="s">
        <v>1</v>
      </c>
      <c r="D212" s="257" t="s">
        <v>2</v>
      </c>
      <c r="E212" s="257" t="s">
        <v>111</v>
      </c>
      <c r="F212" s="257" t="s">
        <v>112</v>
      </c>
      <c r="G212" s="254"/>
      <c r="O212" s="260"/>
    </row>
    <row r="213" spans="1:15">
      <c r="A213" s="256">
        <v>208</v>
      </c>
      <c r="B213" s="256">
        <v>1</v>
      </c>
      <c r="C213" s="257" t="s">
        <v>3</v>
      </c>
      <c r="D213" s="257" t="s">
        <v>4</v>
      </c>
      <c r="E213" s="257" t="s">
        <v>111</v>
      </c>
      <c r="F213" s="257" t="s">
        <v>112</v>
      </c>
      <c r="G213" s="254"/>
      <c r="O213" s="260"/>
    </row>
    <row r="214" spans="1:15">
      <c r="A214" s="256">
        <v>209</v>
      </c>
      <c r="B214" s="256">
        <v>1</v>
      </c>
      <c r="C214" s="257" t="s">
        <v>5</v>
      </c>
      <c r="D214" s="257" t="s">
        <v>6</v>
      </c>
      <c r="E214" s="257" t="s">
        <v>115</v>
      </c>
      <c r="F214" s="257" t="s">
        <v>118</v>
      </c>
      <c r="G214" s="254"/>
      <c r="O214" s="260"/>
    </row>
    <row r="215" spans="1:15">
      <c r="A215" s="256">
        <v>210</v>
      </c>
      <c r="B215" s="256">
        <v>1</v>
      </c>
      <c r="C215" s="257" t="s">
        <v>7</v>
      </c>
      <c r="D215" s="257" t="s">
        <v>8</v>
      </c>
      <c r="E215" s="257" t="s">
        <v>127</v>
      </c>
      <c r="F215" s="257" t="s">
        <v>9</v>
      </c>
      <c r="G215" s="254"/>
      <c r="O215" s="260"/>
    </row>
    <row r="216" spans="1:15">
      <c r="A216" s="256">
        <v>211</v>
      </c>
      <c r="B216" s="256">
        <v>1</v>
      </c>
      <c r="C216" s="257" t="s">
        <v>10</v>
      </c>
      <c r="D216" s="257" t="s">
        <v>11</v>
      </c>
      <c r="E216" s="257" t="s">
        <v>115</v>
      </c>
      <c r="F216" s="257" t="s">
        <v>116</v>
      </c>
      <c r="G216" s="254"/>
    </row>
    <row r="217" spans="1:15">
      <c r="A217" s="256">
        <v>212</v>
      </c>
      <c r="B217" s="256">
        <v>1</v>
      </c>
      <c r="C217" s="257" t="s">
        <v>330</v>
      </c>
      <c r="D217" s="257" t="s">
        <v>329</v>
      </c>
      <c r="E217" s="257" t="s">
        <v>119</v>
      </c>
      <c r="F217" s="257" t="s">
        <v>136</v>
      </c>
      <c r="G217" s="254"/>
    </row>
    <row r="218" spans="1:15">
      <c r="A218" s="256">
        <v>213</v>
      </c>
      <c r="B218" s="256">
        <v>1</v>
      </c>
      <c r="C218" s="257" t="s">
        <v>12</v>
      </c>
      <c r="D218" s="257" t="s">
        <v>13</v>
      </c>
      <c r="E218" s="257" t="s">
        <v>119</v>
      </c>
      <c r="F218" s="257" t="s">
        <v>128</v>
      </c>
      <c r="G218" s="254"/>
    </row>
    <row r="219" spans="1:15">
      <c r="A219" s="256">
        <v>214</v>
      </c>
      <c r="B219" s="256">
        <v>1</v>
      </c>
      <c r="C219" s="257" t="s">
        <v>14</v>
      </c>
      <c r="D219" s="257" t="s">
        <v>15</v>
      </c>
      <c r="E219" s="257" t="s">
        <v>111</v>
      </c>
      <c r="F219" s="257" t="s">
        <v>112</v>
      </c>
      <c r="G219" s="254"/>
    </row>
    <row r="220" spans="1:15">
      <c r="A220" s="256">
        <v>215</v>
      </c>
      <c r="B220" s="256">
        <v>1</v>
      </c>
      <c r="C220" s="257" t="s">
        <v>328</v>
      </c>
      <c r="D220" s="257" t="s">
        <v>16</v>
      </c>
      <c r="E220" s="257" t="s">
        <v>119</v>
      </c>
      <c r="F220" s="257" t="s">
        <v>128</v>
      </c>
      <c r="G220" s="254"/>
    </row>
    <row r="221" spans="1:15">
      <c r="A221" s="256">
        <v>216</v>
      </c>
      <c r="B221" s="256">
        <v>1</v>
      </c>
      <c r="C221" s="257" t="s">
        <v>17</v>
      </c>
      <c r="D221" s="257" t="s">
        <v>18</v>
      </c>
      <c r="E221" s="257" t="s">
        <v>119</v>
      </c>
      <c r="F221" s="257" t="s">
        <v>136</v>
      </c>
      <c r="G221" s="254"/>
    </row>
    <row r="222" spans="1:15">
      <c r="A222" s="256">
        <v>217</v>
      </c>
      <c r="B222" s="256">
        <v>1</v>
      </c>
      <c r="C222" s="257" t="s">
        <v>19</v>
      </c>
      <c r="D222" s="257" t="s">
        <v>20</v>
      </c>
      <c r="E222" s="257" t="s">
        <v>115</v>
      </c>
      <c r="F222" s="257" t="s">
        <v>118</v>
      </c>
      <c r="G222" s="254"/>
    </row>
    <row r="223" spans="1:15">
      <c r="A223" s="256">
        <v>218</v>
      </c>
      <c r="B223" s="256">
        <v>1</v>
      </c>
      <c r="C223" s="257" t="s">
        <v>21</v>
      </c>
      <c r="D223" s="257" t="s">
        <v>22</v>
      </c>
      <c r="E223" s="257" t="s">
        <v>115</v>
      </c>
      <c r="F223" s="257" t="s">
        <v>118</v>
      </c>
      <c r="G223" s="254"/>
    </row>
    <row r="224" spans="1:15">
      <c r="A224" s="256">
        <v>219</v>
      </c>
      <c r="B224" s="256">
        <v>1</v>
      </c>
      <c r="C224" s="257" t="s">
        <v>23</v>
      </c>
      <c r="D224" s="257" t="s">
        <v>24</v>
      </c>
      <c r="E224" s="257" t="s">
        <v>107</v>
      </c>
      <c r="F224" s="257" t="s">
        <v>133</v>
      </c>
      <c r="G224" s="254"/>
    </row>
    <row r="225" spans="1:7">
      <c r="A225" s="256">
        <v>220</v>
      </c>
      <c r="B225" s="256">
        <v>1</v>
      </c>
      <c r="C225" s="257" t="s">
        <v>25</v>
      </c>
      <c r="D225" s="257" t="s">
        <v>26</v>
      </c>
      <c r="E225" s="257" t="s">
        <v>119</v>
      </c>
      <c r="F225" s="257" t="s">
        <v>136</v>
      </c>
      <c r="G225" s="254"/>
    </row>
    <row r="226" spans="1:7">
      <c r="A226" s="256">
        <v>221</v>
      </c>
      <c r="B226" s="256">
        <v>1</v>
      </c>
      <c r="C226" s="257" t="s">
        <v>27</v>
      </c>
      <c r="D226" s="257" t="s">
        <v>28</v>
      </c>
      <c r="E226" s="257" t="s">
        <v>119</v>
      </c>
      <c r="F226" s="257" t="s">
        <v>136</v>
      </c>
      <c r="G226" s="254"/>
    </row>
    <row r="227" spans="1:7">
      <c r="A227" s="256">
        <v>222</v>
      </c>
      <c r="B227" s="256">
        <v>1</v>
      </c>
      <c r="C227" s="257" t="s">
        <v>29</v>
      </c>
      <c r="D227" s="257" t="s">
        <v>30</v>
      </c>
      <c r="E227" s="257" t="s">
        <v>119</v>
      </c>
      <c r="F227" s="257" t="s">
        <v>136</v>
      </c>
      <c r="G227" s="254"/>
    </row>
    <row r="228" spans="1:7">
      <c r="A228" s="256">
        <v>223</v>
      </c>
      <c r="B228" s="256">
        <v>1</v>
      </c>
      <c r="C228" s="257" t="s">
        <v>326</v>
      </c>
      <c r="D228" s="257" t="s">
        <v>325</v>
      </c>
      <c r="E228" s="257" t="s">
        <v>127</v>
      </c>
      <c r="F228" s="257" t="s">
        <v>118</v>
      </c>
      <c r="G228" s="254"/>
    </row>
    <row r="229" spans="1:7">
      <c r="A229" s="256">
        <v>224</v>
      </c>
      <c r="B229" s="256">
        <v>1</v>
      </c>
      <c r="C229" s="257" t="s">
        <v>31</v>
      </c>
      <c r="D229" s="257" t="s">
        <v>32</v>
      </c>
      <c r="E229" s="257" t="s">
        <v>119</v>
      </c>
      <c r="F229" s="257" t="s">
        <v>136</v>
      </c>
      <c r="G229" s="254"/>
    </row>
    <row r="230" spans="1:7">
      <c r="A230" s="256">
        <v>225</v>
      </c>
      <c r="B230" s="256">
        <v>1</v>
      </c>
      <c r="C230" s="257" t="s">
        <v>33</v>
      </c>
      <c r="D230" s="257" t="s">
        <v>34</v>
      </c>
      <c r="E230" s="257" t="s">
        <v>107</v>
      </c>
      <c r="F230" s="257" t="s">
        <v>133</v>
      </c>
      <c r="G230" s="254"/>
    </row>
    <row r="231" spans="1:7">
      <c r="A231" s="256">
        <v>226</v>
      </c>
      <c r="B231" s="256">
        <v>1</v>
      </c>
      <c r="C231" s="257" t="s">
        <v>35</v>
      </c>
      <c r="D231" s="257" t="s">
        <v>36</v>
      </c>
      <c r="E231" s="257" t="s">
        <v>107</v>
      </c>
      <c r="F231" s="257" t="s">
        <v>108</v>
      </c>
      <c r="G231" s="254"/>
    </row>
    <row r="232" spans="1:7">
      <c r="A232" s="256">
        <v>227</v>
      </c>
      <c r="B232" s="256">
        <v>1</v>
      </c>
      <c r="C232" s="257" t="s">
        <v>37</v>
      </c>
      <c r="D232" s="257" t="s">
        <v>38</v>
      </c>
      <c r="E232" s="257" t="s">
        <v>111</v>
      </c>
      <c r="F232" s="257" t="s">
        <v>112</v>
      </c>
      <c r="G232" s="254"/>
    </row>
    <row r="233" spans="1:7">
      <c r="A233" s="256">
        <v>228</v>
      </c>
      <c r="B233" s="256">
        <v>1</v>
      </c>
      <c r="C233" s="257" t="s">
        <v>39</v>
      </c>
      <c r="D233" s="257" t="s">
        <v>40</v>
      </c>
      <c r="E233" s="257" t="s">
        <v>115</v>
      </c>
      <c r="F233" s="257" t="s">
        <v>118</v>
      </c>
      <c r="G233" s="254"/>
    </row>
    <row r="234" spans="1:7">
      <c r="A234" s="256">
        <v>229</v>
      </c>
      <c r="B234" s="256">
        <v>1</v>
      </c>
      <c r="C234" s="257" t="s">
        <v>41</v>
      </c>
      <c r="D234" s="257" t="s">
        <v>42</v>
      </c>
      <c r="E234" s="257" t="s">
        <v>119</v>
      </c>
      <c r="F234" s="257" t="s">
        <v>136</v>
      </c>
      <c r="G234" s="254"/>
    </row>
    <row r="235" spans="1:7">
      <c r="A235" s="256">
        <v>230</v>
      </c>
      <c r="B235" s="256">
        <v>1</v>
      </c>
      <c r="C235" s="257" t="s">
        <v>43</v>
      </c>
      <c r="D235" s="257" t="s">
        <v>44</v>
      </c>
      <c r="E235" s="257" t="s">
        <v>119</v>
      </c>
      <c r="F235" s="257" t="s">
        <v>128</v>
      </c>
      <c r="G235" s="254"/>
    </row>
    <row r="236" spans="1:7">
      <c r="A236" s="256">
        <v>231</v>
      </c>
      <c r="B236" s="256">
        <v>1</v>
      </c>
      <c r="C236" s="257" t="s">
        <v>45</v>
      </c>
      <c r="D236" s="257" t="s">
        <v>46</v>
      </c>
      <c r="E236" s="257" t="s">
        <v>115</v>
      </c>
      <c r="F236" s="257" t="s">
        <v>118</v>
      </c>
      <c r="G236" s="254"/>
    </row>
    <row r="237" spans="1:7">
      <c r="A237" s="256">
        <v>232</v>
      </c>
      <c r="B237" s="256">
        <v>1</v>
      </c>
      <c r="C237" s="257" t="s">
        <v>47</v>
      </c>
      <c r="D237" s="257" t="s">
        <v>48</v>
      </c>
      <c r="E237" s="257" t="s">
        <v>115</v>
      </c>
      <c r="F237" s="257" t="s">
        <v>118</v>
      </c>
      <c r="G237" s="254"/>
    </row>
    <row r="238" spans="1:7">
      <c r="A238" s="258">
        <v>160</v>
      </c>
      <c r="B238" s="258">
        <v>1</v>
      </c>
      <c r="C238" s="258" t="s">
        <v>49</v>
      </c>
      <c r="D238" s="258" t="s">
        <v>50</v>
      </c>
      <c r="E238" s="258" t="s">
        <v>127</v>
      </c>
      <c r="F238" s="258" t="s">
        <v>127</v>
      </c>
      <c r="G238" s="254"/>
    </row>
    <row r="239" spans="1:7">
      <c r="B239" s="252"/>
      <c r="G239" s="254"/>
    </row>
    <row r="240" spans="1:7">
      <c r="B240" s="252"/>
      <c r="G240" s="254"/>
    </row>
  </sheetData>
  <autoFilter ref="A1:Y197"/>
  <sortState ref="A2:Y197">
    <sortCondition ref="B2:B197"/>
    <sortCondition descending="1" ref="J2:J197"/>
    <sortCondition ref="C2:C197"/>
  </sortState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X241"/>
  <sheetViews>
    <sheetView topLeftCell="A3" workbookViewId="0">
      <pane xSplit="10460" ySplit="6000" topLeftCell="A191" activePane="topRight"/>
      <selection activeCell="E18" sqref="E18"/>
      <selection pane="topRight" activeCell="A112" sqref="A112"/>
      <selection pane="bottomLeft" activeCell="G193" sqref="G193:I197"/>
      <selection pane="bottomRight" sqref="A1:Y197"/>
    </sheetView>
  </sheetViews>
  <sheetFormatPr baseColWidth="10" defaultColWidth="8.83203125" defaultRowHeight="14" x14ac:dyDescent="0"/>
  <cols>
    <col min="1" max="1" width="16" customWidth="1"/>
    <col min="2" max="2" width="11" customWidth="1"/>
    <col min="3" max="3" width="10.5" customWidth="1"/>
    <col min="4" max="4" width="22.1640625" customWidth="1"/>
    <col min="5" max="5" width="17.33203125" customWidth="1"/>
    <col min="6" max="6" width="19.83203125" customWidth="1"/>
    <col min="11" max="11" width="24" style="20" customWidth="1"/>
    <col min="12" max="13" width="8.83203125" style="20"/>
    <col min="14" max="14" width="18.5" style="20" customWidth="1"/>
    <col min="15" max="15" width="23.6640625" style="298" customWidth="1"/>
    <col min="16" max="16" width="27.33203125" style="20" customWidth="1"/>
    <col min="17" max="17" width="17.1640625" style="20" customWidth="1"/>
    <col min="18" max="18" width="17.5" style="20" customWidth="1"/>
    <col min="19" max="19" width="14" style="20" customWidth="1"/>
    <col min="20" max="20" width="18.83203125" style="20" customWidth="1"/>
    <col min="21" max="21" width="13.83203125" style="20" customWidth="1"/>
    <col min="22" max="22" width="8.83203125" style="20"/>
    <col min="23" max="23" width="18.1640625" style="20" customWidth="1"/>
    <col min="24" max="24" width="12.33203125" style="232" customWidth="1"/>
    <col min="25" max="25" width="8.83203125" style="20"/>
    <col min="26" max="102" width="8.83203125" style="13"/>
  </cols>
  <sheetData>
    <row r="1" spans="1:102">
      <c r="A1" s="247" t="s">
        <v>100</v>
      </c>
      <c r="B1" t="s">
        <v>71</v>
      </c>
      <c r="C1" s="250" t="s">
        <v>89</v>
      </c>
      <c r="D1" s="250" t="s">
        <v>88</v>
      </c>
      <c r="E1" s="251" t="s">
        <v>101</v>
      </c>
      <c r="F1" s="251" t="s">
        <v>102</v>
      </c>
      <c r="G1" t="s">
        <v>103</v>
      </c>
      <c r="H1" t="s">
        <v>104</v>
      </c>
      <c r="I1" t="s">
        <v>105</v>
      </c>
      <c r="J1" t="s">
        <v>51</v>
      </c>
      <c r="K1" s="266" t="s">
        <v>348</v>
      </c>
      <c r="L1" s="267" t="s">
        <v>187</v>
      </c>
      <c r="M1" s="268" t="s">
        <v>188</v>
      </c>
      <c r="N1" s="269" t="s">
        <v>189</v>
      </c>
      <c r="O1" s="303" t="s">
        <v>53</v>
      </c>
      <c r="P1" s="268" t="s">
        <v>207</v>
      </c>
      <c r="Q1" s="271" t="s">
        <v>214</v>
      </c>
      <c r="R1" s="270" t="s">
        <v>54</v>
      </c>
      <c r="S1" s="272" t="s">
        <v>217</v>
      </c>
      <c r="T1" s="273" t="s">
        <v>198</v>
      </c>
      <c r="U1" s="274" t="s">
        <v>224</v>
      </c>
      <c r="V1" s="275" t="s">
        <v>225</v>
      </c>
      <c r="W1" s="270" t="s">
        <v>55</v>
      </c>
      <c r="X1" s="330" t="s">
        <v>90</v>
      </c>
      <c r="Y1" s="276" t="s">
        <v>57</v>
      </c>
    </row>
    <row r="2" spans="1:102" s="281" customFormat="1">
      <c r="A2" s="281">
        <v>13</v>
      </c>
      <c r="B2" s="281">
        <v>0</v>
      </c>
      <c r="C2" s="282" t="s">
        <v>565</v>
      </c>
      <c r="D2" s="282" t="s">
        <v>564</v>
      </c>
      <c r="E2" s="282" t="s">
        <v>111</v>
      </c>
      <c r="F2" s="282" t="s">
        <v>112</v>
      </c>
      <c r="G2" s="355">
        <v>1</v>
      </c>
      <c r="H2" s="355">
        <v>2</v>
      </c>
      <c r="I2" s="281">
        <v>0</v>
      </c>
      <c r="J2" s="281">
        <v>1</v>
      </c>
      <c r="K2" s="306">
        <v>0.59937585405457128</v>
      </c>
      <c r="L2" s="306">
        <v>-0.36507936507936511</v>
      </c>
      <c r="M2" s="306">
        <v>0.71977422386463363</v>
      </c>
      <c r="N2" s="306">
        <v>-8.2398330723391311E-2</v>
      </c>
      <c r="O2" s="307">
        <v>-1</v>
      </c>
      <c r="P2" s="306">
        <v>0.3889722163358531</v>
      </c>
      <c r="Q2" s="306">
        <v>0</v>
      </c>
      <c r="R2" s="307">
        <v>0</v>
      </c>
      <c r="S2" s="306">
        <v>0.75903312200891437</v>
      </c>
      <c r="T2" s="306">
        <v>-0.5181160435856822</v>
      </c>
      <c r="U2" s="306">
        <v>-0.60317460317460281</v>
      </c>
      <c r="V2" s="306">
        <v>0</v>
      </c>
      <c r="W2" s="307">
        <v>1</v>
      </c>
      <c r="X2" s="309">
        <v>0</v>
      </c>
      <c r="Y2" s="283">
        <f>10.8440635666691-((((AVERAGE(K2:N2)+AVERAGE(Q2+AVERAGE(S2:V2))))))</f>
        <v>10.716709852327829</v>
      </c>
      <c r="Z2" s="13"/>
      <c r="AA2" s="13"/>
      <c r="AB2" s="13"/>
      <c r="AC2" s="13"/>
      <c r="AD2" s="13"/>
      <c r="AE2" s="13"/>
      <c r="AF2" s="13"/>
      <c r="AG2" s="13"/>
      <c r="AH2" s="13"/>
      <c r="AI2" s="13"/>
      <c r="AJ2" s="13"/>
      <c r="AK2" s="13"/>
      <c r="AL2" s="13"/>
      <c r="AM2" s="13"/>
      <c r="AN2" s="13"/>
      <c r="AO2" s="13"/>
      <c r="AP2" s="13"/>
      <c r="AQ2" s="13"/>
      <c r="AR2" s="13"/>
      <c r="AS2" s="13"/>
      <c r="AT2" s="13"/>
      <c r="AU2" s="13"/>
      <c r="AV2" s="13"/>
      <c r="AW2" s="13"/>
      <c r="AX2" s="13"/>
      <c r="AY2" s="13"/>
      <c r="AZ2" s="13"/>
      <c r="BA2" s="13"/>
      <c r="BB2" s="13"/>
      <c r="BC2" s="13"/>
      <c r="BD2" s="13"/>
      <c r="BE2" s="13"/>
      <c r="BF2" s="13"/>
      <c r="BG2" s="13"/>
      <c r="BH2" s="13"/>
      <c r="BI2" s="13"/>
      <c r="BJ2" s="13"/>
      <c r="BK2" s="13"/>
      <c r="BL2" s="13"/>
      <c r="BM2" s="13"/>
      <c r="BN2" s="13"/>
      <c r="BO2" s="13"/>
      <c r="BP2" s="13"/>
      <c r="BQ2" s="13"/>
      <c r="BR2" s="13"/>
      <c r="BS2" s="13"/>
      <c r="BT2" s="13"/>
      <c r="BU2" s="13"/>
      <c r="BV2" s="13"/>
      <c r="BW2" s="13"/>
      <c r="BX2" s="13"/>
      <c r="BY2" s="13"/>
      <c r="BZ2" s="13"/>
      <c r="CA2" s="13"/>
      <c r="CB2" s="13"/>
      <c r="CC2" s="13"/>
      <c r="CD2" s="13"/>
      <c r="CE2" s="13"/>
      <c r="CF2" s="13"/>
      <c r="CG2" s="13"/>
      <c r="CH2" s="13"/>
      <c r="CI2" s="13"/>
      <c r="CJ2" s="13"/>
      <c r="CK2" s="13"/>
      <c r="CL2" s="13"/>
      <c r="CM2" s="13"/>
      <c r="CN2" s="13"/>
      <c r="CO2" s="13"/>
      <c r="CP2" s="13"/>
      <c r="CQ2" s="13"/>
      <c r="CR2" s="13"/>
      <c r="CS2" s="13"/>
      <c r="CT2" s="13"/>
      <c r="CU2" s="13"/>
      <c r="CV2" s="13"/>
      <c r="CW2" s="13"/>
      <c r="CX2" s="13"/>
    </row>
    <row r="3" spans="1:102" s="281" customFormat="1">
      <c r="A3" s="281">
        <v>48</v>
      </c>
      <c r="B3" s="281">
        <v>0</v>
      </c>
      <c r="C3" s="282" t="s">
        <v>525</v>
      </c>
      <c r="D3" s="282" t="s">
        <v>524</v>
      </c>
      <c r="E3" s="282" t="s">
        <v>119</v>
      </c>
      <c r="F3" s="282" t="s">
        <v>120</v>
      </c>
      <c r="G3" s="355">
        <v>1</v>
      </c>
      <c r="H3" s="355">
        <v>2</v>
      </c>
      <c r="I3" s="281">
        <v>1</v>
      </c>
      <c r="J3" s="281">
        <v>1</v>
      </c>
      <c r="K3" s="306">
        <v>-0.53410500359713353</v>
      </c>
      <c r="L3" s="306">
        <v>-0.44047619047619158</v>
      </c>
      <c r="M3" s="306">
        <v>-0.95505750101831177</v>
      </c>
      <c r="N3" s="306">
        <v>-0.22871817885363299</v>
      </c>
      <c r="O3" s="307">
        <v>9</v>
      </c>
      <c r="P3" s="306">
        <v>-0.58865808433990274</v>
      </c>
      <c r="Q3" s="306">
        <v>0.3674975916083536</v>
      </c>
      <c r="R3" s="308">
        <v>9</v>
      </c>
      <c r="S3" s="306">
        <v>-0.88402950762024313</v>
      </c>
      <c r="T3" s="306">
        <v>-6.9027456857223335E-2</v>
      </c>
      <c r="U3" s="306">
        <v>-1.1372549019607838</v>
      </c>
      <c r="V3" s="306">
        <v>0</v>
      </c>
      <c r="W3" s="307">
        <v>-3</v>
      </c>
      <c r="X3" s="309">
        <v>15</v>
      </c>
      <c r="Y3" s="283">
        <f>23.503311668061-((((AVERAGE(K3:N3)+AVERAGE(Q3+AVERAGE(S3:V3))))))</f>
        <v>24.197981261548524</v>
      </c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3"/>
      <c r="AS3" s="13"/>
      <c r="AT3" s="13"/>
      <c r="AU3" s="13"/>
      <c r="AV3" s="13"/>
      <c r="AW3" s="13"/>
      <c r="AX3" s="13"/>
      <c r="AY3" s="13"/>
      <c r="AZ3" s="13"/>
      <c r="BA3" s="13"/>
      <c r="BB3" s="13"/>
      <c r="BC3" s="13"/>
      <c r="BD3" s="13"/>
      <c r="BE3" s="13"/>
      <c r="BF3" s="13"/>
      <c r="BG3" s="13"/>
      <c r="BH3" s="13"/>
      <c r="BI3" s="13"/>
      <c r="BJ3" s="13"/>
      <c r="BK3" s="13"/>
      <c r="BL3" s="13"/>
      <c r="BM3" s="13"/>
      <c r="BN3" s="13"/>
      <c r="BO3" s="13"/>
      <c r="BP3" s="13"/>
      <c r="BQ3" s="13"/>
      <c r="BR3" s="13"/>
      <c r="BS3" s="13"/>
      <c r="BT3" s="13"/>
      <c r="BU3" s="13"/>
      <c r="BV3" s="13"/>
      <c r="BW3" s="13"/>
      <c r="BX3" s="13"/>
      <c r="BY3" s="13"/>
      <c r="BZ3" s="13"/>
      <c r="CA3" s="13"/>
      <c r="CB3" s="13"/>
      <c r="CC3" s="13"/>
      <c r="CD3" s="13"/>
      <c r="CE3" s="13"/>
      <c r="CF3" s="13"/>
      <c r="CG3" s="13"/>
      <c r="CH3" s="13"/>
      <c r="CI3" s="13"/>
      <c r="CJ3" s="13"/>
      <c r="CK3" s="13"/>
      <c r="CL3" s="13"/>
      <c r="CM3" s="13"/>
      <c r="CN3" s="13"/>
      <c r="CO3" s="13"/>
      <c r="CP3" s="13"/>
      <c r="CQ3" s="13"/>
      <c r="CR3" s="13"/>
      <c r="CS3" s="13"/>
      <c r="CT3" s="13"/>
      <c r="CU3" s="13"/>
      <c r="CV3" s="13"/>
      <c r="CW3" s="13"/>
      <c r="CX3" s="13"/>
    </row>
    <row r="4" spans="1:102" s="281" customFormat="1">
      <c r="A4" s="281">
        <v>54</v>
      </c>
      <c r="B4" s="281">
        <v>0</v>
      </c>
      <c r="C4" s="282" t="s">
        <v>535</v>
      </c>
      <c r="D4" s="282" t="s">
        <v>534</v>
      </c>
      <c r="E4" s="282" t="s">
        <v>111</v>
      </c>
      <c r="F4" s="282" t="s">
        <v>112</v>
      </c>
      <c r="G4" s="355">
        <v>1</v>
      </c>
      <c r="H4" s="355">
        <v>2</v>
      </c>
      <c r="I4" s="281">
        <v>1</v>
      </c>
      <c r="J4" s="281">
        <v>1</v>
      </c>
      <c r="K4" s="306">
        <v>7.4254741335144203E-2</v>
      </c>
      <c r="L4" s="306">
        <v>-0.63703703703703773</v>
      </c>
      <c r="M4" s="306">
        <v>1.0056706035092331</v>
      </c>
      <c r="N4" s="306">
        <v>-0.40898614433282887</v>
      </c>
      <c r="O4" s="307">
        <v>-4</v>
      </c>
      <c r="P4" s="306">
        <v>0.30471362812271874</v>
      </c>
      <c r="Q4" s="306">
        <v>0.36228286746499094</v>
      </c>
      <c r="R4" s="307">
        <v>-2</v>
      </c>
      <c r="S4" s="306">
        <v>-1.4092874685991994</v>
      </c>
      <c r="T4" s="306">
        <v>-1.0419985762462716</v>
      </c>
      <c r="U4" s="306">
        <v>-1.2010582010582018</v>
      </c>
      <c r="V4" s="306">
        <v>-0.55102040816326614</v>
      </c>
      <c r="W4" s="308">
        <v>4</v>
      </c>
      <c r="X4" s="309">
        <v>-2</v>
      </c>
      <c r="Y4" s="283">
        <f>22.2146068404218-((((AVERAGE(K4:N4)+AVERAGE(Q4+AVERAGE(S4:V4))))))</f>
        <v>22.894689595604916</v>
      </c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R4" s="13"/>
      <c r="AS4" s="13"/>
      <c r="AT4" s="13"/>
      <c r="AU4" s="13"/>
      <c r="AV4" s="13"/>
      <c r="AW4" s="13"/>
      <c r="AX4" s="13"/>
      <c r="AY4" s="13"/>
      <c r="AZ4" s="13"/>
      <c r="BA4" s="13"/>
      <c r="BB4" s="13"/>
      <c r="BC4" s="13"/>
      <c r="BD4" s="13"/>
      <c r="BE4" s="13"/>
      <c r="BF4" s="13"/>
      <c r="BG4" s="13"/>
      <c r="BH4" s="13"/>
      <c r="BI4" s="13"/>
      <c r="BJ4" s="13"/>
      <c r="BK4" s="13"/>
      <c r="BL4" s="13"/>
      <c r="BM4" s="13"/>
      <c r="BN4" s="13"/>
      <c r="BO4" s="13"/>
      <c r="BP4" s="13"/>
      <c r="BQ4" s="13"/>
      <c r="BR4" s="13"/>
      <c r="BS4" s="13"/>
      <c r="BT4" s="13"/>
      <c r="BU4" s="13"/>
      <c r="BV4" s="13"/>
      <c r="BW4" s="13"/>
      <c r="BX4" s="13"/>
      <c r="BY4" s="13"/>
      <c r="BZ4" s="13"/>
      <c r="CA4" s="13"/>
      <c r="CB4" s="13"/>
      <c r="CC4" s="13"/>
      <c r="CD4" s="13"/>
      <c r="CE4" s="13"/>
      <c r="CF4" s="13"/>
      <c r="CG4" s="13"/>
      <c r="CH4" s="13"/>
      <c r="CI4" s="13"/>
      <c r="CJ4" s="13"/>
      <c r="CK4" s="13"/>
      <c r="CL4" s="13"/>
      <c r="CM4" s="13"/>
      <c r="CN4" s="13"/>
      <c r="CO4" s="13"/>
      <c r="CP4" s="13"/>
      <c r="CQ4" s="13"/>
      <c r="CR4" s="13"/>
      <c r="CS4" s="13"/>
      <c r="CT4" s="13"/>
      <c r="CU4" s="13"/>
      <c r="CV4" s="13"/>
      <c r="CW4" s="13"/>
      <c r="CX4" s="13"/>
    </row>
    <row r="5" spans="1:102" s="281" customFormat="1">
      <c r="A5" s="281">
        <v>62</v>
      </c>
      <c r="B5" s="281">
        <v>0</v>
      </c>
      <c r="C5" s="282" t="s">
        <v>553</v>
      </c>
      <c r="D5" s="282" t="s">
        <v>552</v>
      </c>
      <c r="E5" s="282" t="s">
        <v>111</v>
      </c>
      <c r="F5" s="282" t="s">
        <v>112</v>
      </c>
      <c r="G5" s="355">
        <v>1</v>
      </c>
      <c r="H5" s="355">
        <v>2</v>
      </c>
      <c r="I5" s="281">
        <v>1</v>
      </c>
      <c r="J5" s="281">
        <v>1</v>
      </c>
      <c r="K5" s="306">
        <v>-0.71707629261036043</v>
      </c>
      <c r="L5" s="306">
        <v>-0.7666666666666675</v>
      </c>
      <c r="M5" s="306">
        <v>1.0115143578966928</v>
      </c>
      <c r="N5" s="306">
        <v>-0.31053497143263442</v>
      </c>
      <c r="O5" s="307">
        <v>2</v>
      </c>
      <c r="P5" s="306">
        <v>0.4100370311506687</v>
      </c>
      <c r="Q5" s="306">
        <v>0.11266234550200238</v>
      </c>
      <c r="R5" s="307">
        <v>1</v>
      </c>
      <c r="S5" s="306">
        <v>-1.5574978845620979</v>
      </c>
      <c r="T5" s="306">
        <v>-2.9869088995356563</v>
      </c>
      <c r="U5" s="306">
        <v>-1</v>
      </c>
      <c r="V5" s="306">
        <v>-0.33333333333333393</v>
      </c>
      <c r="W5" s="307">
        <v>8</v>
      </c>
      <c r="X5" s="309">
        <v>11</v>
      </c>
      <c r="Y5" s="283">
        <f>20.6430352030674-((((AVERAGE(K5:N5)+AVERAGE(Q5+AVERAGE(S5:V5))))))</f>
        <v>22.19549878012641</v>
      </c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AX5" s="13"/>
      <c r="AY5" s="13"/>
      <c r="AZ5" s="13"/>
      <c r="BA5" s="13"/>
      <c r="BB5" s="13"/>
      <c r="BC5" s="13"/>
      <c r="BD5" s="13"/>
      <c r="BE5" s="13"/>
      <c r="BF5" s="13"/>
      <c r="BG5" s="13"/>
      <c r="BH5" s="13"/>
      <c r="BI5" s="13"/>
      <c r="BJ5" s="13"/>
      <c r="BK5" s="13"/>
      <c r="BL5" s="13"/>
      <c r="BM5" s="13"/>
      <c r="BN5" s="13"/>
      <c r="BO5" s="13"/>
      <c r="BP5" s="13"/>
      <c r="BQ5" s="13"/>
      <c r="BR5" s="13"/>
      <c r="BS5" s="13"/>
      <c r="BT5" s="13"/>
      <c r="BU5" s="13"/>
      <c r="BV5" s="13"/>
      <c r="BW5" s="13"/>
      <c r="BX5" s="13"/>
      <c r="BY5" s="13"/>
      <c r="BZ5" s="13"/>
      <c r="CA5" s="13"/>
      <c r="CB5" s="13"/>
      <c r="CC5" s="13"/>
      <c r="CD5" s="13"/>
      <c r="CE5" s="13"/>
      <c r="CF5" s="13"/>
      <c r="CG5" s="13"/>
      <c r="CH5" s="13"/>
      <c r="CI5" s="13"/>
      <c r="CJ5" s="13"/>
      <c r="CK5" s="13"/>
      <c r="CL5" s="13"/>
      <c r="CM5" s="13"/>
      <c r="CN5" s="13"/>
      <c r="CO5" s="13"/>
      <c r="CP5" s="13"/>
      <c r="CQ5" s="13"/>
      <c r="CR5" s="13"/>
      <c r="CS5" s="13"/>
      <c r="CT5" s="13"/>
      <c r="CU5" s="13"/>
      <c r="CV5" s="13"/>
      <c r="CW5" s="13"/>
      <c r="CX5" s="13"/>
    </row>
    <row r="6" spans="1:102" s="281" customFormat="1">
      <c r="A6" s="281">
        <v>2</v>
      </c>
      <c r="B6" s="281">
        <v>0</v>
      </c>
      <c r="C6" s="282" t="s">
        <v>541</v>
      </c>
      <c r="D6" s="282" t="s">
        <v>540</v>
      </c>
      <c r="E6" s="282" t="s">
        <v>127</v>
      </c>
      <c r="F6" s="282" t="s">
        <v>127</v>
      </c>
      <c r="G6" s="355">
        <v>1</v>
      </c>
      <c r="H6" s="355">
        <v>2</v>
      </c>
      <c r="I6" s="281">
        <v>1</v>
      </c>
      <c r="J6" s="281">
        <v>1</v>
      </c>
      <c r="K6" s="306">
        <v>-0.82321417879617798</v>
      </c>
      <c r="L6" s="306">
        <v>-0.37023809523809526</v>
      </c>
      <c r="M6" s="306">
        <v>0.45636714205715467</v>
      </c>
      <c r="N6" s="306">
        <v>-0.28958795418386885</v>
      </c>
      <c r="O6" s="307">
        <v>3</v>
      </c>
      <c r="P6" s="306">
        <v>0.41009258670622373</v>
      </c>
      <c r="Q6" s="306">
        <v>0.35488445760561049</v>
      </c>
      <c r="R6" s="307">
        <v>-3</v>
      </c>
      <c r="S6" s="306">
        <v>-1.1316286936209523</v>
      </c>
      <c r="T6" s="306">
        <v>-0.3197720519504994</v>
      </c>
      <c r="U6" s="306">
        <v>1.7492997198879552</v>
      </c>
      <c r="V6" s="306">
        <v>0.91836734693877631</v>
      </c>
      <c r="W6" s="307">
        <v>-15</v>
      </c>
      <c r="X6" s="309">
        <v>-15</v>
      </c>
      <c r="Y6" s="283">
        <f>23.1271073457637-((((AVERAGE(K6:N6)+AVERAGE(Q6+AVERAGE(S6:V6))))))</f>
        <v>22.724824579384517</v>
      </c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3"/>
      <c r="AW6" s="13"/>
      <c r="AX6" s="13"/>
      <c r="AY6" s="13"/>
      <c r="AZ6" s="13"/>
      <c r="BA6" s="13"/>
      <c r="BB6" s="13"/>
      <c r="BC6" s="13"/>
      <c r="BD6" s="13"/>
      <c r="BE6" s="13"/>
      <c r="BF6" s="13"/>
      <c r="BG6" s="13"/>
      <c r="BH6" s="13"/>
      <c r="BI6" s="13"/>
      <c r="BJ6" s="13"/>
      <c r="BK6" s="13"/>
      <c r="BL6" s="13"/>
      <c r="BM6" s="13"/>
      <c r="BN6" s="13"/>
      <c r="BO6" s="13"/>
      <c r="BP6" s="13"/>
      <c r="BQ6" s="13"/>
      <c r="BR6" s="13"/>
      <c r="BS6" s="13"/>
      <c r="BT6" s="13"/>
      <c r="BU6" s="13"/>
      <c r="BV6" s="13"/>
      <c r="BW6" s="13"/>
      <c r="BX6" s="13"/>
      <c r="BY6" s="13"/>
      <c r="BZ6" s="13"/>
      <c r="CA6" s="13"/>
      <c r="CB6" s="13"/>
      <c r="CC6" s="13"/>
      <c r="CD6" s="13"/>
      <c r="CE6" s="13"/>
      <c r="CF6" s="13"/>
      <c r="CG6" s="13"/>
      <c r="CH6" s="13"/>
      <c r="CI6" s="13"/>
      <c r="CJ6" s="13"/>
      <c r="CK6" s="13"/>
      <c r="CL6" s="13"/>
      <c r="CM6" s="13"/>
      <c r="CN6" s="13"/>
      <c r="CO6" s="13"/>
      <c r="CP6" s="13"/>
      <c r="CQ6" s="13"/>
      <c r="CR6" s="13"/>
      <c r="CS6" s="13"/>
      <c r="CT6" s="13"/>
      <c r="CU6" s="13"/>
      <c r="CV6" s="13"/>
      <c r="CW6" s="13"/>
      <c r="CX6" s="13"/>
    </row>
    <row r="7" spans="1:102" s="281" customFormat="1">
      <c r="A7" s="281">
        <v>3</v>
      </c>
      <c r="B7" s="281">
        <v>0</v>
      </c>
      <c r="C7" s="282" t="s">
        <v>511</v>
      </c>
      <c r="D7" s="282" t="s">
        <v>510</v>
      </c>
      <c r="E7" s="282" t="s">
        <v>111</v>
      </c>
      <c r="F7" s="282" t="s">
        <v>112</v>
      </c>
      <c r="G7" s="355">
        <v>1</v>
      </c>
      <c r="H7" s="355">
        <v>2</v>
      </c>
      <c r="I7" s="281">
        <v>1</v>
      </c>
      <c r="J7" s="281">
        <v>1</v>
      </c>
      <c r="K7" s="306">
        <v>-0.15545888136757746</v>
      </c>
      <c r="L7" s="306">
        <v>-0.65000000000000036</v>
      </c>
      <c r="M7" s="306">
        <v>0.92332730529253659</v>
      </c>
      <c r="N7" s="306">
        <v>-0.22834505271194239</v>
      </c>
      <c r="O7" s="307">
        <v>-2</v>
      </c>
      <c r="P7" s="306">
        <v>0.34481749311294863</v>
      </c>
      <c r="Q7" s="306">
        <v>0.53248190014998897</v>
      </c>
      <c r="R7" s="308">
        <v>-1</v>
      </c>
      <c r="S7" s="306">
        <v>-1.5668598524954707</v>
      </c>
      <c r="T7" s="306">
        <v>-0.41177027734514304</v>
      </c>
      <c r="U7" s="306">
        <v>-0.89417989417989219</v>
      </c>
      <c r="V7" s="306">
        <v>-0.33333333333333393</v>
      </c>
      <c r="W7" s="308">
        <v>2</v>
      </c>
      <c r="X7" s="309">
        <v>-1</v>
      </c>
      <c r="Y7" s="283">
        <f>23.9944953100355-((((AVERAGE(K7:N7)+AVERAGE(Q7+AVERAGE(S7:V7))))))</f>
        <v>24.291168406420717</v>
      </c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AX7" s="13"/>
      <c r="AY7" s="13"/>
      <c r="AZ7" s="13"/>
      <c r="BA7" s="13"/>
      <c r="BB7" s="13"/>
      <c r="BC7" s="13"/>
      <c r="BD7" s="13"/>
      <c r="BE7" s="13"/>
      <c r="BF7" s="13"/>
      <c r="BG7" s="13"/>
      <c r="BH7" s="13"/>
      <c r="BI7" s="13"/>
      <c r="BJ7" s="13"/>
      <c r="BK7" s="13"/>
      <c r="BL7" s="13"/>
      <c r="BM7" s="13"/>
      <c r="BN7" s="13"/>
      <c r="BO7" s="13"/>
      <c r="BP7" s="13"/>
      <c r="BQ7" s="13"/>
      <c r="BR7" s="13"/>
      <c r="BS7" s="13"/>
      <c r="BT7" s="13"/>
      <c r="BU7" s="13"/>
      <c r="BV7" s="13"/>
      <c r="BW7" s="13"/>
      <c r="BX7" s="13"/>
      <c r="BY7" s="13"/>
      <c r="BZ7" s="13"/>
      <c r="CA7" s="13"/>
      <c r="CB7" s="13"/>
      <c r="CC7" s="13"/>
      <c r="CD7" s="13"/>
      <c r="CE7" s="13"/>
      <c r="CF7" s="13"/>
      <c r="CG7" s="13"/>
      <c r="CH7" s="13"/>
      <c r="CI7" s="13"/>
      <c r="CJ7" s="13"/>
      <c r="CK7" s="13"/>
      <c r="CL7" s="13"/>
      <c r="CM7" s="13"/>
      <c r="CN7" s="13"/>
      <c r="CO7" s="13"/>
      <c r="CP7" s="13"/>
      <c r="CQ7" s="13"/>
      <c r="CR7" s="13"/>
      <c r="CS7" s="13"/>
      <c r="CT7" s="13"/>
      <c r="CU7" s="13"/>
      <c r="CV7" s="13"/>
      <c r="CW7" s="13"/>
      <c r="CX7" s="13"/>
    </row>
    <row r="8" spans="1:102" s="281" customFormat="1">
      <c r="A8" s="281">
        <v>19</v>
      </c>
      <c r="B8" s="281">
        <v>0</v>
      </c>
      <c r="C8" s="282" t="s">
        <v>555</v>
      </c>
      <c r="D8" s="282" t="s">
        <v>554</v>
      </c>
      <c r="E8" s="282" t="s">
        <v>111</v>
      </c>
      <c r="F8" s="282" t="s">
        <v>110</v>
      </c>
      <c r="G8" s="355">
        <v>1</v>
      </c>
      <c r="H8" s="355">
        <v>2</v>
      </c>
      <c r="I8" s="281">
        <v>0</v>
      </c>
      <c r="J8" s="281">
        <v>1</v>
      </c>
      <c r="K8" s="306">
        <v>-0.8937158786571775</v>
      </c>
      <c r="L8" s="306">
        <v>-0.40714285714285658</v>
      </c>
      <c r="M8" s="306">
        <v>0.54215198193229774</v>
      </c>
      <c r="N8" s="306">
        <v>-0.26416245991889653</v>
      </c>
      <c r="O8" s="307">
        <v>1</v>
      </c>
      <c r="P8" s="306">
        <v>0.38511244731699268</v>
      </c>
      <c r="Q8" s="306">
        <v>0.3263552007416024</v>
      </c>
      <c r="R8" s="308">
        <v>-4</v>
      </c>
      <c r="S8" s="306">
        <v>-0.92764296093313225</v>
      </c>
      <c r="T8" s="306">
        <v>-0.53140828589965317</v>
      </c>
      <c r="U8" s="306">
        <v>-0.35714285714285676</v>
      </c>
      <c r="V8" s="306">
        <v>-0.35714285714285676</v>
      </c>
      <c r="W8" s="307">
        <v>0</v>
      </c>
      <c r="X8" s="309">
        <v>-3</v>
      </c>
      <c r="Y8" s="283">
        <f>20.5257913277325-((((AVERAGE(K8:N8)+AVERAGE(Q8+AVERAGE(S8:V8))))))</f>
        <v>20.998487670717179</v>
      </c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3"/>
      <c r="AW8" s="13"/>
      <c r="AX8" s="13"/>
      <c r="AY8" s="13"/>
      <c r="AZ8" s="13"/>
      <c r="BA8" s="13"/>
      <c r="BB8" s="13"/>
      <c r="BC8" s="13"/>
      <c r="BD8" s="13"/>
      <c r="BE8" s="13"/>
      <c r="BF8" s="13"/>
      <c r="BG8" s="13"/>
      <c r="BH8" s="13"/>
      <c r="BI8" s="13"/>
      <c r="BJ8" s="13"/>
      <c r="BK8" s="13"/>
      <c r="BL8" s="13"/>
      <c r="BM8" s="13"/>
      <c r="BN8" s="13"/>
      <c r="BO8" s="13"/>
      <c r="BP8" s="13"/>
      <c r="BQ8" s="13"/>
      <c r="BR8" s="13"/>
      <c r="BS8" s="13"/>
      <c r="BT8" s="13"/>
      <c r="BU8" s="13"/>
      <c r="BV8" s="13"/>
      <c r="BW8" s="13"/>
      <c r="BX8" s="13"/>
      <c r="BY8" s="13"/>
      <c r="BZ8" s="13"/>
      <c r="CA8" s="13"/>
      <c r="CB8" s="13"/>
      <c r="CC8" s="13"/>
      <c r="CD8" s="13"/>
      <c r="CE8" s="13"/>
      <c r="CF8" s="13"/>
      <c r="CG8" s="13"/>
      <c r="CH8" s="13"/>
      <c r="CI8" s="13"/>
      <c r="CJ8" s="13"/>
      <c r="CK8" s="13"/>
      <c r="CL8" s="13"/>
      <c r="CM8" s="13"/>
      <c r="CN8" s="13"/>
      <c r="CO8" s="13"/>
      <c r="CP8" s="13"/>
      <c r="CQ8" s="13"/>
      <c r="CR8" s="13"/>
      <c r="CS8" s="13"/>
      <c r="CT8" s="13"/>
      <c r="CU8" s="13"/>
      <c r="CV8" s="13"/>
      <c r="CW8" s="13"/>
      <c r="CX8" s="13"/>
    </row>
    <row r="9" spans="1:102" s="281" customFormat="1">
      <c r="A9" s="281">
        <v>21</v>
      </c>
      <c r="B9" s="281">
        <v>0</v>
      </c>
      <c r="C9" s="282" t="s">
        <v>523</v>
      </c>
      <c r="D9" s="282" t="s">
        <v>522</v>
      </c>
      <c r="E9" s="282" t="s">
        <v>111</v>
      </c>
      <c r="F9" s="282" t="s">
        <v>112</v>
      </c>
      <c r="G9" s="355">
        <v>1</v>
      </c>
      <c r="H9" s="355">
        <v>2</v>
      </c>
      <c r="I9" s="281">
        <v>1</v>
      </c>
      <c r="J9" s="281">
        <v>1</v>
      </c>
      <c r="K9" s="306">
        <v>0.529282349335924</v>
      </c>
      <c r="L9" s="306">
        <v>-0.53846153846153655</v>
      </c>
      <c r="M9" s="306">
        <v>0.84894882890969647</v>
      </c>
      <c r="N9" s="306">
        <v>-0.26642009658530164</v>
      </c>
      <c r="O9" s="307">
        <v>-5</v>
      </c>
      <c r="P9" s="306">
        <v>0.37092592003955538</v>
      </c>
      <c r="Q9" s="306">
        <v>0.38161458424175265</v>
      </c>
      <c r="R9" s="307">
        <v>-3</v>
      </c>
      <c r="S9" s="306">
        <v>-1.4528475701779096</v>
      </c>
      <c r="T9" s="306">
        <v>0.66731372419995161</v>
      </c>
      <c r="U9" s="306">
        <v>-0.95238095238095255</v>
      </c>
      <c r="V9" s="306">
        <v>-9.52380952380949E-2</v>
      </c>
      <c r="W9" s="307">
        <v>0</v>
      </c>
      <c r="X9" s="309">
        <v>-8</v>
      </c>
      <c r="Y9" s="283">
        <f>23.0625986145264-((((AVERAGE(K9:N9)+AVERAGE(Q9+AVERAGE(S9:V9))))))</f>
        <v>22.995934867884205</v>
      </c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</row>
    <row r="10" spans="1:102" s="281" customFormat="1">
      <c r="A10" s="281">
        <v>24</v>
      </c>
      <c r="B10" s="281">
        <v>0</v>
      </c>
      <c r="C10" s="282" t="s">
        <v>537</v>
      </c>
      <c r="D10" s="282" t="s">
        <v>536</v>
      </c>
      <c r="E10" s="282" t="s">
        <v>111</v>
      </c>
      <c r="F10" s="282" t="s">
        <v>112</v>
      </c>
      <c r="G10" s="355">
        <v>1</v>
      </c>
      <c r="H10" s="355">
        <v>2</v>
      </c>
      <c r="I10" s="281">
        <v>1</v>
      </c>
      <c r="J10" s="281">
        <v>1</v>
      </c>
      <c r="K10" s="306">
        <v>-0.56985848806997552</v>
      </c>
      <c r="L10" s="306">
        <v>-0.5</v>
      </c>
      <c r="M10" s="306">
        <v>0.51951474843010281</v>
      </c>
      <c r="N10" s="306">
        <v>-0.48427953776663557</v>
      </c>
      <c r="O10" s="307">
        <v>2</v>
      </c>
      <c r="P10" s="306">
        <v>0.33906883520519848</v>
      </c>
      <c r="Q10" s="306">
        <v>0.17536579192878854</v>
      </c>
      <c r="R10" s="307">
        <v>2</v>
      </c>
      <c r="S10" s="306">
        <v>-1.7466117017466876</v>
      </c>
      <c r="T10" s="306">
        <v>-0.6185201200118744</v>
      </c>
      <c r="U10" s="306">
        <v>-1.3928571428571432</v>
      </c>
      <c r="V10" s="306">
        <v>-1.6071428571428577</v>
      </c>
      <c r="W10" s="307">
        <v>5</v>
      </c>
      <c r="X10" s="309">
        <v>9</v>
      </c>
      <c r="Y10" s="283">
        <f>21.3338461803889-((((AVERAGE(K10:N10)+AVERAGE(Q10+AVERAGE(S10:V10))))))</f>
        <v>22.758419163251379</v>
      </c>
      <c r="Z10" s="13"/>
      <c r="AA10" s="13"/>
      <c r="AB10" s="13"/>
      <c r="AC10" s="13"/>
      <c r="AD10" s="13"/>
      <c r="AE10" s="13"/>
      <c r="AF10" s="13"/>
      <c r="AG10" s="13"/>
      <c r="AH10" s="13"/>
      <c r="AI10" s="13"/>
      <c r="AJ10" s="13"/>
      <c r="AK10" s="13"/>
      <c r="AL10" s="13"/>
      <c r="AM10" s="13"/>
      <c r="AN10" s="13"/>
      <c r="AO10" s="13"/>
      <c r="AP10" s="13"/>
      <c r="AQ10" s="13"/>
      <c r="AR10" s="13"/>
      <c r="AS10" s="13"/>
      <c r="AT10" s="13"/>
      <c r="AU10" s="13"/>
      <c r="AV10" s="13"/>
      <c r="AW10" s="13"/>
      <c r="AX10" s="13"/>
      <c r="AY10" s="13"/>
      <c r="AZ10" s="13"/>
      <c r="BA10" s="13"/>
      <c r="BB10" s="13"/>
      <c r="BC10" s="13"/>
      <c r="BD10" s="13"/>
      <c r="BE10" s="13"/>
      <c r="BF10" s="13"/>
      <c r="BG10" s="13"/>
      <c r="BH10" s="13"/>
      <c r="BI10" s="13"/>
      <c r="BJ10" s="13"/>
      <c r="BK10" s="13"/>
      <c r="BL10" s="13"/>
      <c r="BM10" s="13"/>
      <c r="BN10" s="13"/>
      <c r="BO10" s="13"/>
      <c r="BP10" s="13"/>
      <c r="BQ10" s="13"/>
      <c r="BR10" s="13"/>
      <c r="BS10" s="13"/>
      <c r="BT10" s="13"/>
      <c r="BU10" s="13"/>
      <c r="BV10" s="13"/>
      <c r="BW10" s="13"/>
      <c r="BX10" s="13"/>
      <c r="BY10" s="13"/>
      <c r="BZ10" s="13"/>
      <c r="CA10" s="13"/>
      <c r="CB10" s="13"/>
      <c r="CC10" s="13"/>
      <c r="CD10" s="13"/>
      <c r="CE10" s="13"/>
      <c r="CF10" s="13"/>
      <c r="CG10" s="13"/>
      <c r="CH10" s="13"/>
      <c r="CI10" s="13"/>
      <c r="CJ10" s="13"/>
      <c r="CK10" s="13"/>
      <c r="CL10" s="13"/>
      <c r="CM10" s="13"/>
      <c r="CN10" s="13"/>
      <c r="CO10" s="13"/>
      <c r="CP10" s="13"/>
      <c r="CQ10" s="13"/>
      <c r="CR10" s="13"/>
      <c r="CS10" s="13"/>
      <c r="CT10" s="13"/>
      <c r="CU10" s="13"/>
      <c r="CV10" s="13"/>
      <c r="CW10" s="13"/>
      <c r="CX10" s="13"/>
    </row>
    <row r="11" spans="1:102" s="281" customFormat="1">
      <c r="A11" s="281">
        <v>32</v>
      </c>
      <c r="B11" s="281">
        <v>0</v>
      </c>
      <c r="C11" s="282" t="s">
        <v>527</v>
      </c>
      <c r="D11" s="282" t="s">
        <v>526</v>
      </c>
      <c r="E11" s="282" t="s">
        <v>111</v>
      </c>
      <c r="F11" s="282" t="s">
        <v>112</v>
      </c>
      <c r="G11" s="355">
        <v>1</v>
      </c>
      <c r="H11" s="355">
        <v>2</v>
      </c>
      <c r="I11" s="281">
        <v>1</v>
      </c>
      <c r="J11" s="281">
        <v>1</v>
      </c>
      <c r="K11" s="306">
        <v>-0.37409546246464309</v>
      </c>
      <c r="L11" s="306">
        <v>-0.6691876750700283</v>
      </c>
      <c r="M11" s="306">
        <v>1.1592803797694113</v>
      </c>
      <c r="N11" s="306">
        <v>-0.22866682179452624</v>
      </c>
      <c r="O11" s="307">
        <v>0</v>
      </c>
      <c r="P11" s="306">
        <v>0.21468732782369226</v>
      </c>
      <c r="Q11" s="306">
        <v>0.26604263835214326</v>
      </c>
      <c r="R11" s="307">
        <v>1</v>
      </c>
      <c r="S11" s="306">
        <v>-1.4308743907992705</v>
      </c>
      <c r="T11" s="306">
        <v>-0.42955013188324109</v>
      </c>
      <c r="U11" s="306">
        <v>-0.58263305322128911</v>
      </c>
      <c r="V11" s="306">
        <v>0.27551020408163041</v>
      </c>
      <c r="W11" s="317">
        <v>1</v>
      </c>
      <c r="X11" s="309">
        <v>2</v>
      </c>
      <c r="Y11" s="283">
        <f>22.2850443286256-((((AVERAGE(K11:N11)+AVERAGE(Q11+AVERAGE(S11:V11))))))</f>
        <v>22.589055928118945</v>
      </c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</row>
    <row r="12" spans="1:102" s="281" customFormat="1">
      <c r="A12" s="281">
        <v>35</v>
      </c>
      <c r="B12" s="281">
        <v>0</v>
      </c>
      <c r="C12" s="282" t="s">
        <v>519</v>
      </c>
      <c r="D12" s="282" t="s">
        <v>518</v>
      </c>
      <c r="E12" s="282" t="s">
        <v>111</v>
      </c>
      <c r="F12" s="282" t="s">
        <v>112</v>
      </c>
      <c r="G12" s="355">
        <v>1</v>
      </c>
      <c r="H12" s="355">
        <v>2</v>
      </c>
      <c r="I12" s="281">
        <v>1</v>
      </c>
      <c r="J12" s="281">
        <v>1</v>
      </c>
      <c r="K12" s="306">
        <v>1.7204356685671875</v>
      </c>
      <c r="L12" s="306">
        <v>-0.40000000000000036</v>
      </c>
      <c r="M12" s="306">
        <v>0.7830486271976671</v>
      </c>
      <c r="N12" s="306">
        <v>-0.51545729415085439</v>
      </c>
      <c r="O12" s="307">
        <v>-9</v>
      </c>
      <c r="P12" s="306">
        <v>0.40420369781733356</v>
      </c>
      <c r="Q12" s="306">
        <v>0.26297700789259792</v>
      </c>
      <c r="R12" s="307">
        <v>-1</v>
      </c>
      <c r="S12" s="306">
        <v>-1.0204318523313303</v>
      </c>
      <c r="T12" s="306">
        <v>-0.89989035889924285</v>
      </c>
      <c r="U12" s="306">
        <v>-1.4166666666666661</v>
      </c>
      <c r="V12" s="306">
        <v>-1</v>
      </c>
      <c r="W12" s="307">
        <v>4</v>
      </c>
      <c r="X12" s="309">
        <v>-6</v>
      </c>
      <c r="Y12" s="283">
        <f>22.3112453909631-((((AVERAGE(K12:N12)+AVERAGE(Q12+AVERAGE(S12:V12))))))</f>
        <v>22.735508852141315</v>
      </c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</row>
    <row r="13" spans="1:102" s="281" customFormat="1">
      <c r="A13" s="281">
        <v>37</v>
      </c>
      <c r="B13" s="281">
        <v>0</v>
      </c>
      <c r="C13" s="282" t="s">
        <v>543</v>
      </c>
      <c r="D13" s="282" t="s">
        <v>542</v>
      </c>
      <c r="E13" s="282" t="s">
        <v>111</v>
      </c>
      <c r="F13" s="282" t="s">
        <v>112</v>
      </c>
      <c r="G13" s="355">
        <v>1</v>
      </c>
      <c r="H13" s="355">
        <v>2</v>
      </c>
      <c r="I13" s="281">
        <v>1</v>
      </c>
      <c r="J13" s="281">
        <v>1</v>
      </c>
      <c r="K13" s="306">
        <v>-0.504450933916198</v>
      </c>
      <c r="L13" s="306">
        <v>-0.55930898675259755</v>
      </c>
      <c r="M13" s="306">
        <v>1.0105111847804054</v>
      </c>
      <c r="N13" s="306">
        <v>-0.28347596563108457</v>
      </c>
      <c r="O13" s="307">
        <v>-2</v>
      </c>
      <c r="P13" s="306">
        <v>-1.5311461408961407</v>
      </c>
      <c r="Q13" s="306">
        <v>0.38032559199836058</v>
      </c>
      <c r="R13" s="307">
        <v>2</v>
      </c>
      <c r="S13" s="306">
        <v>0.11326818800416394</v>
      </c>
      <c r="T13" s="306">
        <v>-1.4874878176605186</v>
      </c>
      <c r="U13" s="306">
        <v>-0.90332975295381246</v>
      </c>
      <c r="V13" s="306">
        <v>-5.102040816326614E-2</v>
      </c>
      <c r="W13" s="317">
        <v>0</v>
      </c>
      <c r="X13" s="309">
        <v>0</v>
      </c>
      <c r="Y13" s="283">
        <f>22.5721486448025-((((AVERAGE(K13:N13)+AVERAGE(Q13+AVERAGE(S13:V13))))))</f>
        <v>22.858146675877364</v>
      </c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</row>
    <row r="14" spans="1:102" s="281" customFormat="1">
      <c r="A14" s="281">
        <v>40</v>
      </c>
      <c r="B14" s="281">
        <v>0</v>
      </c>
      <c r="C14" s="282" t="s">
        <v>521</v>
      </c>
      <c r="D14" s="282" t="s">
        <v>520</v>
      </c>
      <c r="E14" s="282" t="s">
        <v>111</v>
      </c>
      <c r="F14" s="282" t="s">
        <v>112</v>
      </c>
      <c r="G14" s="355">
        <v>1</v>
      </c>
      <c r="H14" s="355">
        <v>2</v>
      </c>
      <c r="I14" s="281">
        <v>1</v>
      </c>
      <c r="J14" s="281">
        <v>1</v>
      </c>
      <c r="K14" s="306">
        <v>-0.46333988413189253</v>
      </c>
      <c r="L14" s="306">
        <v>-0.55850340136054477</v>
      </c>
      <c r="M14" s="306">
        <v>-0.1076602484562228</v>
      </c>
      <c r="N14" s="306">
        <v>-0.25771763020407867</v>
      </c>
      <c r="O14" s="307">
        <v>4</v>
      </c>
      <c r="P14" s="306">
        <v>-0.49124732170186736</v>
      </c>
      <c r="Q14" s="306">
        <v>9.6423061395315202E-2</v>
      </c>
      <c r="R14" s="317">
        <v>11</v>
      </c>
      <c r="S14" s="306">
        <v>-1.4711321830612167</v>
      </c>
      <c r="T14" s="306">
        <v>-0.27409821996369566</v>
      </c>
      <c r="U14" s="306">
        <v>-0.83163265306122369</v>
      </c>
      <c r="V14" s="306">
        <v>0.24234693877551017</v>
      </c>
      <c r="W14" s="307">
        <v>-1</v>
      </c>
      <c r="X14" s="309">
        <v>14</v>
      </c>
      <c r="Y14" s="283">
        <f>22.9457252379223-((((AVERAGE(K14:N14)+AVERAGE(Q14+AVERAGE(S14:V14))))))</f>
        <v>23.779736496892827</v>
      </c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</row>
    <row r="15" spans="1:102" s="281" customFormat="1">
      <c r="A15" s="281">
        <v>50</v>
      </c>
      <c r="B15" s="281">
        <v>0</v>
      </c>
      <c r="C15" s="282" t="s">
        <v>559</v>
      </c>
      <c r="D15" s="282" t="s">
        <v>558</v>
      </c>
      <c r="E15" s="282" t="s">
        <v>111</v>
      </c>
      <c r="F15" s="282" t="s">
        <v>112</v>
      </c>
      <c r="G15" s="355">
        <v>1</v>
      </c>
      <c r="H15" s="355">
        <v>2</v>
      </c>
      <c r="I15" s="281">
        <v>1</v>
      </c>
      <c r="J15" s="281">
        <v>1</v>
      </c>
      <c r="K15" s="306">
        <v>0.18072329302818879</v>
      </c>
      <c r="L15" s="306">
        <v>-1.2618480725623575</v>
      </c>
      <c r="M15" s="306">
        <v>1.4056888334502258</v>
      </c>
      <c r="N15" s="306">
        <v>-0.33620517700174268</v>
      </c>
      <c r="O15" s="307">
        <v>0</v>
      </c>
      <c r="P15" s="306">
        <v>0.28142202914930081</v>
      </c>
      <c r="Q15" s="306">
        <v>0.46834565464930655</v>
      </c>
      <c r="R15" s="307">
        <v>-2</v>
      </c>
      <c r="S15" s="306">
        <v>-0.99429409149247094</v>
      </c>
      <c r="T15" s="306">
        <v>-0.14286968858232996</v>
      </c>
      <c r="U15" s="306">
        <v>-0.68367346938775508</v>
      </c>
      <c r="V15" s="306">
        <v>-0.30612244897958973</v>
      </c>
      <c r="W15" s="307">
        <v>-2</v>
      </c>
      <c r="X15" s="309">
        <v>-4</v>
      </c>
      <c r="Y15" s="283">
        <f>20.1278132035351-((((AVERAGE(K15:N15)+AVERAGE(Q15+AVERAGE(S15:V15))))))</f>
        <v>20.194117754267754</v>
      </c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</row>
    <row r="16" spans="1:102" s="281" customFormat="1">
      <c r="A16" s="281">
        <v>64</v>
      </c>
      <c r="B16" s="281">
        <v>0</v>
      </c>
      <c r="C16" s="282" t="s">
        <v>529</v>
      </c>
      <c r="D16" s="282" t="s">
        <v>528</v>
      </c>
      <c r="E16" s="282" t="s">
        <v>111</v>
      </c>
      <c r="F16" s="282" t="s">
        <v>112</v>
      </c>
      <c r="G16" s="355">
        <v>1</v>
      </c>
      <c r="H16" s="355">
        <v>2</v>
      </c>
      <c r="I16" s="281">
        <v>0</v>
      </c>
      <c r="J16" s="281">
        <v>1</v>
      </c>
      <c r="K16" s="306">
        <v>-0.77105583657343857</v>
      </c>
      <c r="L16" s="306">
        <v>-0.34162742019884895</v>
      </c>
      <c r="M16" s="306">
        <v>0.69661896430029291</v>
      </c>
      <c r="N16" s="306">
        <v>-0.35377310154069264</v>
      </c>
      <c r="O16" s="307">
        <v>-2</v>
      </c>
      <c r="P16" s="306">
        <v>0.28372570695298016</v>
      </c>
      <c r="Q16" s="306">
        <v>0.27557261509363684</v>
      </c>
      <c r="R16" s="307">
        <v>-1</v>
      </c>
      <c r="S16" s="306">
        <v>-1.1351828346208315</v>
      </c>
      <c r="T16" s="306">
        <v>-0.4641652088517505</v>
      </c>
      <c r="U16" s="306">
        <v>-0.78911564625850428</v>
      </c>
      <c r="V16" s="306">
        <v>-0.51020408163265252</v>
      </c>
      <c r="W16" s="317">
        <v>0</v>
      </c>
      <c r="X16" s="309">
        <v>-3</v>
      </c>
      <c r="Y16" s="283">
        <f>22.4790810665187-((((AVERAGE(K16:N16)+AVERAGE(Q16+AVERAGE(S16:V16))))))</f>
        <v>23.12063474276917</v>
      </c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</row>
    <row r="17" spans="1:102" s="281" customFormat="1">
      <c r="A17" s="281">
        <v>67</v>
      </c>
      <c r="B17" s="281">
        <v>0</v>
      </c>
      <c r="C17" s="282" t="s">
        <v>513</v>
      </c>
      <c r="D17" s="282" t="s">
        <v>512</v>
      </c>
      <c r="E17" s="282" t="s">
        <v>111</v>
      </c>
      <c r="F17" s="282" t="s">
        <v>112</v>
      </c>
      <c r="G17" s="355">
        <v>1</v>
      </c>
      <c r="H17" s="355">
        <v>2</v>
      </c>
      <c r="I17" s="281">
        <v>1</v>
      </c>
      <c r="J17" s="281">
        <v>1</v>
      </c>
      <c r="K17" s="306">
        <v>0.33020663418484197</v>
      </c>
      <c r="L17" s="306">
        <v>-0.71515151515151487</v>
      </c>
      <c r="M17" s="306">
        <v>1.5890359152834677</v>
      </c>
      <c r="N17" s="306">
        <v>-0.20110089101085116</v>
      </c>
      <c r="O17" s="307">
        <v>-2</v>
      </c>
      <c r="P17" s="306">
        <v>0.18516505380141801</v>
      </c>
      <c r="Q17" s="306">
        <v>0.11024909243652203</v>
      </c>
      <c r="R17" s="307">
        <v>1</v>
      </c>
      <c r="S17" s="306">
        <v>-2.850999084862984</v>
      </c>
      <c r="T17" s="306">
        <v>-0.14648791683021312</v>
      </c>
      <c r="U17" s="306">
        <v>-1.1515151515151523</v>
      </c>
      <c r="V17" s="306">
        <v>-0.35714285714285587</v>
      </c>
      <c r="W17" s="317">
        <v>6</v>
      </c>
      <c r="X17" s="309">
        <v>5</v>
      </c>
      <c r="Y17" s="283">
        <f>23.1571233769435-((((AVERAGE(K17:N17)+AVERAGE(Q17+AVERAGE(S17:V17))))))</f>
        <v>23.922663001268294</v>
      </c>
      <c r="Z17" s="13"/>
      <c r="AA17" s="13"/>
      <c r="AB17" s="13"/>
      <c r="AC17" s="13"/>
      <c r="AD17" s="13"/>
      <c r="AE17" s="13"/>
      <c r="AF17" s="13"/>
      <c r="AG17" s="13"/>
      <c r="AH17" s="13"/>
      <c r="AI17" s="13"/>
      <c r="AJ17" s="13"/>
      <c r="AK17" s="13"/>
      <c r="AL17" s="13"/>
      <c r="AM17" s="13"/>
      <c r="AN17" s="13"/>
      <c r="AO17" s="13"/>
      <c r="AP17" s="13"/>
      <c r="AQ17" s="13"/>
      <c r="AR17" s="13"/>
      <c r="AS17" s="13"/>
      <c r="AT17" s="13"/>
      <c r="AU17" s="13"/>
      <c r="AV17" s="13"/>
      <c r="AW17" s="13"/>
      <c r="AX17" s="13"/>
      <c r="AY17" s="13"/>
      <c r="AZ17" s="13"/>
      <c r="BA17" s="13"/>
      <c r="BB17" s="13"/>
      <c r="BC17" s="13"/>
      <c r="BD17" s="13"/>
      <c r="BE17" s="13"/>
      <c r="BF17" s="13"/>
      <c r="BG17" s="13"/>
      <c r="BH17" s="13"/>
      <c r="BI17" s="13"/>
      <c r="BJ17" s="13"/>
      <c r="BK17" s="13"/>
      <c r="BL17" s="13"/>
      <c r="BM17" s="13"/>
      <c r="BN17" s="13"/>
      <c r="BO17" s="13"/>
      <c r="BP17" s="13"/>
      <c r="BQ17" s="13"/>
      <c r="BR17" s="13"/>
      <c r="BS17" s="13"/>
      <c r="BT17" s="13"/>
      <c r="BU17" s="13"/>
      <c r="BV17" s="13"/>
      <c r="BW17" s="13"/>
      <c r="BX17" s="13"/>
      <c r="BY17" s="13"/>
      <c r="BZ17" s="13"/>
      <c r="CA17" s="13"/>
      <c r="CB17" s="13"/>
      <c r="CC17" s="13"/>
      <c r="CD17" s="13"/>
      <c r="CE17" s="13"/>
      <c r="CF17" s="13"/>
      <c r="CG17" s="13"/>
      <c r="CH17" s="13"/>
      <c r="CI17" s="13"/>
      <c r="CJ17" s="13"/>
      <c r="CK17" s="13"/>
      <c r="CL17" s="13"/>
      <c r="CM17" s="13"/>
      <c r="CN17" s="13"/>
      <c r="CO17" s="13"/>
      <c r="CP17" s="13"/>
      <c r="CQ17" s="13"/>
      <c r="CR17" s="13"/>
      <c r="CS17" s="13"/>
      <c r="CT17" s="13"/>
      <c r="CU17" s="13"/>
      <c r="CV17" s="13"/>
      <c r="CW17" s="13"/>
      <c r="CX17" s="13"/>
    </row>
    <row r="18" spans="1:102" s="281" customFormat="1">
      <c r="A18" s="281">
        <v>70</v>
      </c>
      <c r="B18" s="281">
        <v>0</v>
      </c>
      <c r="C18" s="282" t="s">
        <v>545</v>
      </c>
      <c r="D18" s="282" t="s">
        <v>544</v>
      </c>
      <c r="E18" s="282" t="s">
        <v>111</v>
      </c>
      <c r="F18" s="282" t="s">
        <v>112</v>
      </c>
      <c r="G18" s="355">
        <v>1</v>
      </c>
      <c r="H18" s="355">
        <v>2</v>
      </c>
      <c r="I18" s="281">
        <v>1</v>
      </c>
      <c r="J18" s="281">
        <v>1</v>
      </c>
      <c r="K18" s="306">
        <v>-0.4227427063124285</v>
      </c>
      <c r="L18" s="306">
        <v>-0.24488095238095209</v>
      </c>
      <c r="M18" s="306">
        <v>0.85808010857465566</v>
      </c>
      <c r="N18" s="306">
        <v>-0.30062812764561908</v>
      </c>
      <c r="O18" s="307">
        <v>-1</v>
      </c>
      <c r="P18" s="306">
        <v>0.21292404228767836</v>
      </c>
      <c r="Q18" s="306">
        <v>0.41058972472433286</v>
      </c>
      <c r="R18" s="307">
        <v>1</v>
      </c>
      <c r="S18" s="306">
        <v>-1.6906276098566053</v>
      </c>
      <c r="T18" s="306">
        <v>0.31247389548962801</v>
      </c>
      <c r="U18" s="306">
        <v>-0.64087301587301493</v>
      </c>
      <c r="V18" s="306">
        <v>4.761904761904745E-2</v>
      </c>
      <c r="W18" s="307">
        <v>-1</v>
      </c>
      <c r="X18" s="309">
        <v>-1</v>
      </c>
      <c r="Y18" s="283">
        <f>21.3389851123028-((((AVERAGE(K18:N18)+AVERAGE(Q18+AVERAGE(S18:V18))))))</f>
        <v>21.448790227674792</v>
      </c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</row>
    <row r="19" spans="1:102" s="281" customFormat="1">
      <c r="A19" s="281">
        <v>73</v>
      </c>
      <c r="B19" s="281">
        <v>0</v>
      </c>
      <c r="C19" s="282" t="s">
        <v>547</v>
      </c>
      <c r="D19" s="282" t="s">
        <v>546</v>
      </c>
      <c r="E19" s="282" t="s">
        <v>119</v>
      </c>
      <c r="F19" s="282" t="s">
        <v>128</v>
      </c>
      <c r="G19" s="355">
        <v>1</v>
      </c>
      <c r="H19" s="355">
        <v>2</v>
      </c>
      <c r="I19" s="281">
        <v>1</v>
      </c>
      <c r="J19" s="281">
        <v>1</v>
      </c>
      <c r="K19" s="283">
        <v>-0.46630043444845981</v>
      </c>
      <c r="L19" s="283">
        <v>-0.26388888888888928</v>
      </c>
      <c r="M19" s="283">
        <v>-3.0545454545454547</v>
      </c>
      <c r="N19" s="283">
        <v>-0.33524386041666254</v>
      </c>
      <c r="O19" s="308">
        <v>2</v>
      </c>
      <c r="P19" s="283">
        <v>0.17505554966918524</v>
      </c>
      <c r="Q19" s="283">
        <v>0.34203977034833599</v>
      </c>
      <c r="R19" s="307">
        <v>-1</v>
      </c>
      <c r="S19" s="283">
        <v>-0.92076708962838749</v>
      </c>
      <c r="T19" s="283">
        <v>-0.24747931596881489</v>
      </c>
      <c r="U19" s="283">
        <v>-0.75396825396825395</v>
      </c>
      <c r="V19" s="283">
        <v>-0.47619047619047539</v>
      </c>
      <c r="W19" s="308">
        <v>0</v>
      </c>
      <c r="X19" s="309">
        <v>1</v>
      </c>
      <c r="Y19" s="283">
        <f>22.1999865315714-((((AVERAGE(K19:N19)+AVERAGE(Q19+AVERAGE(S19:V19))))))</f>
        <v>23.487542704736914</v>
      </c>
      <c r="Z19" s="13"/>
      <c r="AA19" s="13"/>
      <c r="AB19" s="13"/>
      <c r="AC19" s="13"/>
      <c r="AD19" s="13"/>
      <c r="AE19" s="13"/>
      <c r="AF19" s="13"/>
      <c r="AG19" s="13"/>
      <c r="AH19" s="13"/>
      <c r="AI19" s="13"/>
      <c r="AJ19" s="13"/>
      <c r="AK19" s="13"/>
      <c r="AL19" s="13"/>
      <c r="AM19" s="13"/>
      <c r="AN19" s="13"/>
      <c r="AO19" s="13"/>
      <c r="AP19" s="13"/>
      <c r="AQ19" s="13"/>
      <c r="AR19" s="13"/>
      <c r="AS19" s="13"/>
      <c r="AT19" s="13"/>
      <c r="AU19" s="13"/>
      <c r="AV19" s="13"/>
      <c r="AW19" s="13"/>
      <c r="AX19" s="13"/>
      <c r="AY19" s="13"/>
      <c r="AZ19" s="13"/>
      <c r="BA19" s="13"/>
      <c r="BB19" s="13"/>
      <c r="BC19" s="13"/>
      <c r="BD19" s="13"/>
      <c r="BE19" s="13"/>
      <c r="BF19" s="13"/>
      <c r="BG19" s="13"/>
      <c r="BH19" s="13"/>
      <c r="BI19" s="13"/>
      <c r="BJ19" s="13"/>
      <c r="BK19" s="13"/>
      <c r="BL19" s="13"/>
      <c r="BM19" s="13"/>
      <c r="BN19" s="13"/>
      <c r="BO19" s="13"/>
      <c r="BP19" s="13"/>
      <c r="BQ19" s="13"/>
      <c r="BR19" s="13"/>
      <c r="BS19" s="13"/>
      <c r="BT19" s="13"/>
      <c r="BU19" s="13"/>
      <c r="BV19" s="13"/>
      <c r="BW19" s="13"/>
      <c r="BX19" s="13"/>
      <c r="BY19" s="13"/>
      <c r="BZ19" s="13"/>
      <c r="CA19" s="13"/>
      <c r="CB19" s="13"/>
      <c r="CC19" s="13"/>
      <c r="CD19" s="13"/>
      <c r="CE19" s="13"/>
      <c r="CF19" s="13"/>
      <c r="CG19" s="13"/>
      <c r="CH19" s="13"/>
      <c r="CI19" s="13"/>
      <c r="CJ19" s="13"/>
      <c r="CK19" s="13"/>
      <c r="CL19" s="13"/>
      <c r="CM19" s="13"/>
      <c r="CN19" s="13"/>
      <c r="CO19" s="13"/>
      <c r="CP19" s="13"/>
      <c r="CQ19" s="13"/>
      <c r="CR19" s="13"/>
      <c r="CS19" s="13"/>
      <c r="CT19" s="13"/>
      <c r="CU19" s="13"/>
      <c r="CV19" s="13"/>
      <c r="CW19" s="13"/>
      <c r="CX19" s="13"/>
    </row>
    <row r="20" spans="1:102" s="281" customFormat="1">
      <c r="A20" s="281">
        <v>91</v>
      </c>
      <c r="B20" s="281">
        <v>0</v>
      </c>
      <c r="C20" s="282" t="s">
        <v>561</v>
      </c>
      <c r="D20" s="282" t="s">
        <v>560</v>
      </c>
      <c r="E20" s="282" t="s">
        <v>111</v>
      </c>
      <c r="F20" s="282" t="s">
        <v>112</v>
      </c>
      <c r="G20" s="355">
        <v>1</v>
      </c>
      <c r="H20" s="355">
        <v>2</v>
      </c>
      <c r="I20" s="281">
        <v>0</v>
      </c>
      <c r="J20" s="281">
        <v>1</v>
      </c>
      <c r="K20" s="306">
        <v>-0.37058700075002715</v>
      </c>
      <c r="L20" s="306">
        <v>0</v>
      </c>
      <c r="M20" s="306">
        <v>-0.11814276034082538</v>
      </c>
      <c r="N20" s="306">
        <v>-0.28284090400911843</v>
      </c>
      <c r="O20" s="307">
        <v>0</v>
      </c>
      <c r="P20" s="306">
        <v>0.39783332744696409</v>
      </c>
      <c r="Q20" s="306">
        <v>0</v>
      </c>
      <c r="R20" s="307">
        <v>0</v>
      </c>
      <c r="S20" s="306">
        <v>2.1187394446981576</v>
      </c>
      <c r="T20" s="306">
        <v>-0.76733528743823065</v>
      </c>
      <c r="U20" s="306">
        <v>0</v>
      </c>
      <c r="V20" s="306">
        <v>0</v>
      </c>
      <c r="W20" s="307">
        <v>-2</v>
      </c>
      <c r="X20" s="309">
        <v>-2</v>
      </c>
      <c r="Y20" s="283">
        <f>11.2682223396894-((((AVERAGE(K20:N20)+AVERAGE(Q20+AVERAGE(S20:V20))))))</f>
        <v>11.123263966649411</v>
      </c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  <c r="AN20" s="13"/>
      <c r="AO20" s="13"/>
      <c r="AP20" s="13"/>
      <c r="AQ20" s="13"/>
      <c r="AR20" s="13"/>
      <c r="AS20" s="13"/>
      <c r="AT20" s="13"/>
      <c r="AU20" s="13"/>
      <c r="AV20" s="13"/>
      <c r="AW20" s="13"/>
      <c r="AX20" s="13"/>
      <c r="AY20" s="13"/>
      <c r="AZ20" s="13"/>
      <c r="BA20" s="13"/>
      <c r="BB20" s="13"/>
      <c r="BC20" s="13"/>
      <c r="BD20" s="13"/>
      <c r="BE20" s="13"/>
      <c r="BF20" s="13"/>
      <c r="BG20" s="13"/>
      <c r="BH20" s="13"/>
      <c r="BI20" s="13"/>
      <c r="BJ20" s="13"/>
      <c r="BK20" s="13"/>
      <c r="BL20" s="13"/>
      <c r="BM20" s="13"/>
      <c r="BN20" s="13"/>
      <c r="BO20" s="13"/>
      <c r="BP20" s="13"/>
      <c r="BQ20" s="13"/>
      <c r="BR20" s="13"/>
      <c r="BS20" s="13"/>
      <c r="BT20" s="13"/>
      <c r="BU20" s="13"/>
      <c r="BV20" s="13"/>
      <c r="BW20" s="13"/>
      <c r="BX20" s="13"/>
      <c r="BY20" s="13"/>
      <c r="BZ20" s="13"/>
      <c r="CA20" s="13"/>
      <c r="CB20" s="13"/>
      <c r="CC20" s="13"/>
      <c r="CD20" s="13"/>
      <c r="CE20" s="13"/>
      <c r="CF20" s="13"/>
      <c r="CG20" s="13"/>
      <c r="CH20" s="13"/>
      <c r="CI20" s="13"/>
      <c r="CJ20" s="13"/>
      <c r="CK20" s="13"/>
      <c r="CL20" s="13"/>
      <c r="CM20" s="13"/>
      <c r="CN20" s="13"/>
      <c r="CO20" s="13"/>
      <c r="CP20" s="13"/>
      <c r="CQ20" s="13"/>
      <c r="CR20" s="13"/>
      <c r="CS20" s="13"/>
      <c r="CT20" s="13"/>
      <c r="CU20" s="13"/>
      <c r="CV20" s="13"/>
      <c r="CW20" s="13"/>
      <c r="CX20" s="13"/>
    </row>
    <row r="21" spans="1:102" s="281" customFormat="1">
      <c r="A21" s="281">
        <v>95</v>
      </c>
      <c r="B21" s="281">
        <v>0</v>
      </c>
      <c r="C21" s="282" t="s">
        <v>531</v>
      </c>
      <c r="D21" s="282" t="s">
        <v>530</v>
      </c>
      <c r="E21" s="282" t="s">
        <v>111</v>
      </c>
      <c r="F21" s="282" t="s">
        <v>112</v>
      </c>
      <c r="G21" s="355">
        <v>1</v>
      </c>
      <c r="H21" s="355">
        <v>2</v>
      </c>
      <c r="I21" s="281">
        <v>1</v>
      </c>
      <c r="J21" s="281">
        <v>1</v>
      </c>
      <c r="K21" s="306">
        <v>-0.74581115511886686</v>
      </c>
      <c r="L21" s="306">
        <v>-0.56666666666666643</v>
      </c>
      <c r="M21" s="306">
        <v>-0.31579542552658246</v>
      </c>
      <c r="N21" s="306">
        <v>-0.70752538131334752</v>
      </c>
      <c r="O21" s="307">
        <v>9</v>
      </c>
      <c r="P21" s="306">
        <v>0.39902777189140792</v>
      </c>
      <c r="Q21" s="306">
        <v>0.35970531063917832</v>
      </c>
      <c r="R21" s="307">
        <v>-2</v>
      </c>
      <c r="S21" s="306">
        <v>-2.790860680190471</v>
      </c>
      <c r="T21" s="306">
        <v>-1.0627557297810313</v>
      </c>
      <c r="U21" s="306">
        <v>-2.9999999999999991</v>
      </c>
      <c r="V21" s="306">
        <v>-2.1428571428571432</v>
      </c>
      <c r="W21" s="308">
        <v>14</v>
      </c>
      <c r="X21" s="309">
        <v>21</v>
      </c>
      <c r="Y21" s="283">
        <f>20.7548189230512-((((AVERAGE(K21:N21)+AVERAGE(Q21+AVERAGE(S21:V21))))))</f>
        <v>23.228181657775547</v>
      </c>
      <c r="Z21" s="13"/>
      <c r="AA21" s="13"/>
      <c r="AB21" s="13"/>
      <c r="AC21" s="13"/>
      <c r="AD21" s="13"/>
      <c r="AE21" s="13"/>
      <c r="AF21" s="13"/>
      <c r="AG21" s="13"/>
      <c r="AH21" s="13"/>
      <c r="AI21" s="13"/>
      <c r="AJ21" s="13"/>
      <c r="AK21" s="13"/>
      <c r="AL21" s="13"/>
      <c r="AM21" s="13"/>
      <c r="AN21" s="13"/>
      <c r="AO21" s="13"/>
      <c r="AP21" s="13"/>
      <c r="AQ21" s="13"/>
      <c r="AR21" s="13"/>
      <c r="AS21" s="13"/>
      <c r="AT21" s="13"/>
      <c r="AU21" s="13"/>
      <c r="AV21" s="13"/>
      <c r="AW21" s="13"/>
      <c r="AX21" s="13"/>
      <c r="AY21" s="13"/>
      <c r="AZ21" s="13"/>
      <c r="BA21" s="13"/>
      <c r="BB21" s="13"/>
      <c r="BC21" s="13"/>
      <c r="BD21" s="13"/>
      <c r="BE21" s="13"/>
      <c r="BF21" s="13"/>
      <c r="BG21" s="13"/>
      <c r="BH21" s="13"/>
      <c r="BI21" s="13"/>
      <c r="BJ21" s="13"/>
      <c r="BK21" s="13"/>
      <c r="BL21" s="13"/>
      <c r="BM21" s="13"/>
      <c r="BN21" s="13"/>
      <c r="BO21" s="13"/>
      <c r="BP21" s="13"/>
      <c r="BQ21" s="13"/>
      <c r="BR21" s="13"/>
      <c r="BS21" s="13"/>
      <c r="BT21" s="13"/>
      <c r="BU21" s="13"/>
      <c r="BV21" s="13"/>
      <c r="BW21" s="13"/>
      <c r="BX21" s="13"/>
      <c r="BY21" s="13"/>
      <c r="BZ21" s="13"/>
      <c r="CA21" s="13"/>
      <c r="CB21" s="13"/>
      <c r="CC21" s="13"/>
      <c r="CD21" s="13"/>
      <c r="CE21" s="13"/>
      <c r="CF21" s="13"/>
      <c r="CG21" s="13"/>
      <c r="CH21" s="13"/>
      <c r="CI21" s="13"/>
      <c r="CJ21" s="13"/>
      <c r="CK21" s="13"/>
      <c r="CL21" s="13"/>
      <c r="CM21" s="13"/>
      <c r="CN21" s="13"/>
      <c r="CO21" s="13"/>
      <c r="CP21" s="13"/>
      <c r="CQ21" s="13"/>
      <c r="CR21" s="13"/>
      <c r="CS21" s="13"/>
      <c r="CT21" s="13"/>
      <c r="CU21" s="13"/>
      <c r="CV21" s="13"/>
      <c r="CW21" s="13"/>
      <c r="CX21" s="13"/>
    </row>
    <row r="22" spans="1:102" s="281" customFormat="1">
      <c r="A22" s="281">
        <v>98</v>
      </c>
      <c r="B22" s="281">
        <v>0</v>
      </c>
      <c r="C22" s="282" t="s">
        <v>563</v>
      </c>
      <c r="D22" s="282" t="s">
        <v>562</v>
      </c>
      <c r="E22" s="282" t="s">
        <v>111</v>
      </c>
      <c r="F22" s="282" t="s">
        <v>112</v>
      </c>
      <c r="G22" s="355"/>
      <c r="H22" s="355">
        <v>2</v>
      </c>
      <c r="I22" s="281">
        <v>0</v>
      </c>
      <c r="J22" s="281">
        <v>1</v>
      </c>
      <c r="K22" s="306">
        <v>-0.93208899263325407</v>
      </c>
      <c r="L22" s="306">
        <v>-0.66666666666666696</v>
      </c>
      <c r="M22" s="306">
        <v>-0.11814276034082538</v>
      </c>
      <c r="N22" s="306">
        <v>-0.59557462366795555</v>
      </c>
      <c r="O22" s="307">
        <v>1</v>
      </c>
      <c r="P22" s="306">
        <v>6.8083009583009577</v>
      </c>
      <c r="Q22" s="306">
        <v>0</v>
      </c>
      <c r="R22" s="307">
        <v>0</v>
      </c>
      <c r="S22" s="306">
        <v>2.9929698475252415</v>
      </c>
      <c r="T22" s="306">
        <v>2.6830817379212575</v>
      </c>
      <c r="U22" s="306">
        <v>-1.4761904761904763</v>
      </c>
      <c r="V22" s="306">
        <v>0.17857142857142883</v>
      </c>
      <c r="W22" s="307">
        <v>-1</v>
      </c>
      <c r="X22" s="309">
        <v>0</v>
      </c>
      <c r="Y22" s="283">
        <f>10.6056566654003-((((AVERAGE(K22:N22)+AVERAGE(Q22+AVERAGE(S22:V22))))))</f>
        <v>10.089166791770612</v>
      </c>
      <c r="Z22" s="13"/>
      <c r="AA22" s="13"/>
      <c r="AB22" s="13"/>
      <c r="AC22" s="13"/>
      <c r="AD22" s="13"/>
      <c r="AE22" s="13"/>
      <c r="AF22" s="13"/>
      <c r="AG22" s="13"/>
      <c r="AH22" s="13"/>
      <c r="AI22" s="13"/>
      <c r="AJ22" s="13"/>
      <c r="AK22" s="13"/>
      <c r="AL22" s="13"/>
      <c r="AM22" s="13"/>
      <c r="AN22" s="13"/>
      <c r="AO22" s="13"/>
      <c r="AP22" s="13"/>
      <c r="AQ22" s="13"/>
      <c r="AR22" s="13"/>
      <c r="AS22" s="13"/>
      <c r="AT22" s="13"/>
      <c r="AU22" s="13"/>
      <c r="AV22" s="13"/>
      <c r="AW22" s="13"/>
      <c r="AX22" s="13"/>
      <c r="AY22" s="13"/>
      <c r="AZ22" s="13"/>
      <c r="BA22" s="13"/>
      <c r="BB22" s="13"/>
      <c r="BC22" s="13"/>
      <c r="BD22" s="13"/>
      <c r="BE22" s="13"/>
      <c r="BF22" s="13"/>
      <c r="BG22" s="13"/>
      <c r="BH22" s="13"/>
      <c r="BI22" s="13"/>
      <c r="BJ22" s="13"/>
      <c r="BK22" s="13"/>
      <c r="BL22" s="13"/>
      <c r="BM22" s="13"/>
      <c r="BN22" s="13"/>
      <c r="BO22" s="13"/>
      <c r="BP22" s="13"/>
      <c r="BQ22" s="13"/>
      <c r="BR22" s="13"/>
      <c r="BS22" s="13"/>
      <c r="BT22" s="13"/>
      <c r="BU22" s="13"/>
      <c r="BV22" s="13"/>
      <c r="BW22" s="13"/>
      <c r="BX22" s="13"/>
      <c r="BY22" s="13"/>
      <c r="BZ22" s="13"/>
      <c r="CA22" s="13"/>
      <c r="CB22" s="13"/>
      <c r="CC22" s="13"/>
      <c r="CD22" s="13"/>
      <c r="CE22" s="13"/>
      <c r="CF22" s="13"/>
      <c r="CG22" s="13"/>
      <c r="CH22" s="13"/>
      <c r="CI22" s="13"/>
      <c r="CJ22" s="13"/>
      <c r="CK22" s="13"/>
      <c r="CL22" s="13"/>
      <c r="CM22" s="13"/>
      <c r="CN22" s="13"/>
      <c r="CO22" s="13"/>
      <c r="CP22" s="13"/>
      <c r="CQ22" s="13"/>
      <c r="CR22" s="13"/>
      <c r="CS22" s="13"/>
      <c r="CT22" s="13"/>
      <c r="CU22" s="13"/>
      <c r="CV22" s="13"/>
      <c r="CW22" s="13"/>
      <c r="CX22" s="13"/>
    </row>
    <row r="23" spans="1:102" s="281" customFormat="1">
      <c r="A23" s="281">
        <v>109</v>
      </c>
      <c r="B23" s="281">
        <v>0</v>
      </c>
      <c r="C23" s="282" t="s">
        <v>557</v>
      </c>
      <c r="D23" s="282" t="s">
        <v>556</v>
      </c>
      <c r="E23" s="282" t="s">
        <v>111</v>
      </c>
      <c r="F23" s="282" t="s">
        <v>112</v>
      </c>
      <c r="G23" s="355">
        <v>1</v>
      </c>
      <c r="H23" s="355">
        <v>2</v>
      </c>
      <c r="I23" s="281">
        <v>0</v>
      </c>
      <c r="J23" s="281">
        <v>1</v>
      </c>
      <c r="K23" s="306">
        <v>-0.2492820098099191</v>
      </c>
      <c r="L23" s="306">
        <v>-0.24285714285714288</v>
      </c>
      <c r="M23" s="306">
        <v>0.61828551143667632</v>
      </c>
      <c r="N23" s="306">
        <v>-0.20532023883709982</v>
      </c>
      <c r="O23" s="307">
        <v>-1</v>
      </c>
      <c r="P23" s="306">
        <v>0.44866129241129293</v>
      </c>
      <c r="Q23" s="306">
        <v>0.40942450880139969</v>
      </c>
      <c r="R23" s="308">
        <v>-3</v>
      </c>
      <c r="S23" s="306">
        <v>-1.3847494669231017</v>
      </c>
      <c r="T23" s="306">
        <v>-1.0162463716916097</v>
      </c>
      <c r="U23" s="306">
        <v>-0.61904761904761862</v>
      </c>
      <c r="V23" s="306">
        <v>0</v>
      </c>
      <c r="W23" s="308">
        <v>0</v>
      </c>
      <c r="X23" s="309">
        <v>-4</v>
      </c>
      <c r="Y23" s="283">
        <f>20.1768174855786-((((AVERAGE(K23:N23)+AVERAGE(Q23+AVERAGE(S23:V23))))))</f>
        <v>20.542197311209655</v>
      </c>
      <c r="Z23" s="13"/>
      <c r="AA23" s="13"/>
      <c r="AB23" s="13"/>
      <c r="AC23" s="13"/>
      <c r="AD23" s="13"/>
      <c r="AE23" s="13"/>
      <c r="AF23" s="13"/>
      <c r="AG23" s="13"/>
      <c r="AH23" s="13"/>
      <c r="AI23" s="13"/>
      <c r="AJ23" s="13"/>
      <c r="AK23" s="13"/>
      <c r="AL23" s="13"/>
      <c r="AM23" s="13"/>
      <c r="AN23" s="13"/>
      <c r="AO23" s="13"/>
      <c r="AP23" s="13"/>
      <c r="AQ23" s="13"/>
      <c r="AR23" s="13"/>
      <c r="AS23" s="13"/>
      <c r="AT23" s="13"/>
      <c r="AU23" s="13"/>
      <c r="AV23" s="13"/>
      <c r="AW23" s="13"/>
      <c r="AX23" s="13"/>
      <c r="AY23" s="13"/>
      <c r="AZ23" s="13"/>
      <c r="BA23" s="13"/>
      <c r="BB23" s="13"/>
      <c r="BC23" s="13"/>
      <c r="BD23" s="13"/>
      <c r="BE23" s="13"/>
      <c r="BF23" s="13"/>
      <c r="BG23" s="13"/>
      <c r="BH23" s="13"/>
      <c r="BI23" s="13"/>
      <c r="BJ23" s="13"/>
      <c r="BK23" s="13"/>
      <c r="BL23" s="13"/>
      <c r="BM23" s="13"/>
      <c r="BN23" s="13"/>
      <c r="BO23" s="13"/>
      <c r="BP23" s="13"/>
      <c r="BQ23" s="13"/>
      <c r="BR23" s="13"/>
      <c r="BS23" s="13"/>
      <c r="BT23" s="13"/>
      <c r="BU23" s="13"/>
      <c r="BV23" s="13"/>
      <c r="BW23" s="13"/>
      <c r="BX23" s="13"/>
      <c r="BY23" s="13"/>
      <c r="BZ23" s="13"/>
      <c r="CA23" s="13"/>
      <c r="CB23" s="13"/>
      <c r="CC23" s="13"/>
      <c r="CD23" s="13"/>
      <c r="CE23" s="13"/>
      <c r="CF23" s="13"/>
      <c r="CG23" s="13"/>
      <c r="CH23" s="13"/>
      <c r="CI23" s="13"/>
      <c r="CJ23" s="13"/>
      <c r="CK23" s="13"/>
      <c r="CL23" s="13"/>
      <c r="CM23" s="13"/>
      <c r="CN23" s="13"/>
      <c r="CO23" s="13"/>
      <c r="CP23" s="13"/>
      <c r="CQ23" s="13"/>
      <c r="CR23" s="13"/>
      <c r="CS23" s="13"/>
      <c r="CT23" s="13"/>
      <c r="CU23" s="13"/>
      <c r="CV23" s="13"/>
      <c r="CW23" s="13"/>
      <c r="CX23" s="13"/>
    </row>
    <row r="24" spans="1:102" s="281" customFormat="1">
      <c r="A24" s="281">
        <v>124</v>
      </c>
      <c r="B24" s="281">
        <v>0</v>
      </c>
      <c r="C24" s="282" t="s">
        <v>551</v>
      </c>
      <c r="D24" s="282" t="s">
        <v>550</v>
      </c>
      <c r="E24" s="282" t="s">
        <v>111</v>
      </c>
      <c r="F24" s="282" t="s">
        <v>112</v>
      </c>
      <c r="G24" s="355">
        <v>1</v>
      </c>
      <c r="H24" s="355">
        <v>2</v>
      </c>
      <c r="I24" s="281">
        <v>1</v>
      </c>
      <c r="J24" s="281">
        <v>1</v>
      </c>
      <c r="K24" s="306">
        <v>-0.39438964973389368</v>
      </c>
      <c r="L24" s="306">
        <v>-0.61349206349206398</v>
      </c>
      <c r="M24" s="306">
        <v>1.0196590270563224</v>
      </c>
      <c r="N24" s="306">
        <v>-0.1780283041835613</v>
      </c>
      <c r="O24" s="307">
        <v>-4</v>
      </c>
      <c r="P24" s="306">
        <v>0.29036311836311857</v>
      </c>
      <c r="Q24" s="306">
        <v>0.13944833322966232</v>
      </c>
      <c r="R24" s="307">
        <v>0</v>
      </c>
      <c r="S24" s="306">
        <v>-1.4152544846039126</v>
      </c>
      <c r="T24" s="306">
        <v>-0.14448587310049632</v>
      </c>
      <c r="U24" s="306">
        <v>-1.2063492063492065</v>
      </c>
      <c r="V24" s="306">
        <v>-0.23809523809523636</v>
      </c>
      <c r="W24" s="308">
        <v>3</v>
      </c>
      <c r="X24" s="309">
        <v>-1</v>
      </c>
      <c r="Y24" s="283">
        <f>21.6481045917435-((((AVERAGE(K24:N24)+AVERAGE(Q24+AVERAGE(S24:V24))))))</f>
        <v>22.30126520663935</v>
      </c>
      <c r="Z24" s="13"/>
      <c r="AA24" s="13"/>
      <c r="AB24" s="13"/>
      <c r="AC24" s="13"/>
      <c r="AD24" s="13"/>
      <c r="AE24" s="13"/>
      <c r="AF24" s="13"/>
      <c r="AG24" s="13"/>
      <c r="AH24" s="13"/>
      <c r="AI24" s="13"/>
      <c r="AJ24" s="13"/>
      <c r="AK24" s="13"/>
      <c r="AL24" s="13"/>
      <c r="AM24" s="13"/>
      <c r="AN24" s="13"/>
      <c r="AO24" s="13"/>
      <c r="AP24" s="13"/>
      <c r="AQ24" s="13"/>
      <c r="AR24" s="13"/>
      <c r="AS24" s="13"/>
      <c r="AT24" s="13"/>
      <c r="AU24" s="13"/>
      <c r="AV24" s="13"/>
      <c r="AW24" s="13"/>
      <c r="AX24" s="13"/>
      <c r="AY24" s="13"/>
      <c r="AZ24" s="13"/>
      <c r="BA24" s="13"/>
      <c r="BB24" s="13"/>
      <c r="BC24" s="13"/>
      <c r="BD24" s="13"/>
      <c r="BE24" s="13"/>
      <c r="BF24" s="13"/>
      <c r="BG24" s="13"/>
      <c r="BH24" s="13"/>
      <c r="BI24" s="13"/>
      <c r="BJ24" s="13"/>
      <c r="BK24" s="13"/>
      <c r="BL24" s="13"/>
      <c r="BM24" s="13"/>
      <c r="BN24" s="13"/>
      <c r="BO24" s="13"/>
      <c r="BP24" s="13"/>
      <c r="BQ24" s="13"/>
      <c r="BR24" s="13"/>
      <c r="BS24" s="13"/>
      <c r="BT24" s="13"/>
      <c r="BU24" s="13"/>
      <c r="BV24" s="13"/>
      <c r="BW24" s="13"/>
      <c r="BX24" s="13"/>
      <c r="BY24" s="13"/>
      <c r="BZ24" s="13"/>
      <c r="CA24" s="13"/>
      <c r="CB24" s="13"/>
      <c r="CC24" s="13"/>
      <c r="CD24" s="13"/>
      <c r="CE24" s="13"/>
      <c r="CF24" s="13"/>
      <c r="CG24" s="13"/>
      <c r="CH24" s="13"/>
      <c r="CI24" s="13"/>
      <c r="CJ24" s="13"/>
      <c r="CK24" s="13"/>
      <c r="CL24" s="13"/>
      <c r="CM24" s="13"/>
      <c r="CN24" s="13"/>
      <c r="CO24" s="13"/>
      <c r="CP24" s="13"/>
      <c r="CQ24" s="13"/>
      <c r="CR24" s="13"/>
      <c r="CS24" s="13"/>
      <c r="CT24" s="13"/>
      <c r="CU24" s="13"/>
      <c r="CV24" s="13"/>
      <c r="CW24" s="13"/>
      <c r="CX24" s="13"/>
    </row>
    <row r="25" spans="1:102" s="281" customFormat="1">
      <c r="A25" s="281">
        <v>125</v>
      </c>
      <c r="B25" s="281">
        <v>0</v>
      </c>
      <c r="C25" s="282" t="s">
        <v>539</v>
      </c>
      <c r="D25" s="282" t="s">
        <v>538</v>
      </c>
      <c r="E25" s="282" t="s">
        <v>111</v>
      </c>
      <c r="F25" s="282" t="s">
        <v>112</v>
      </c>
      <c r="G25" s="355">
        <v>1</v>
      </c>
      <c r="H25" s="355">
        <v>2</v>
      </c>
      <c r="I25" s="281">
        <v>1</v>
      </c>
      <c r="J25" s="281">
        <v>1</v>
      </c>
      <c r="K25" s="306">
        <v>-0.49958874061575997</v>
      </c>
      <c r="L25" s="306">
        <v>-0.15000000000000036</v>
      </c>
      <c r="M25" s="306">
        <v>0.93658818794056575</v>
      </c>
      <c r="N25" s="306">
        <v>-0.2391054699391173</v>
      </c>
      <c r="O25" s="307">
        <v>-1</v>
      </c>
      <c r="P25" s="306">
        <v>0.38186110522474159</v>
      </c>
      <c r="Q25" s="306">
        <v>0.23438035877838281</v>
      </c>
      <c r="R25" s="307">
        <v>-1</v>
      </c>
      <c r="S25" s="306">
        <v>-1.3331295083260426</v>
      </c>
      <c r="T25" s="306">
        <v>-0.455786799247619</v>
      </c>
      <c r="U25" s="306">
        <v>-0.96190476190476204</v>
      </c>
      <c r="V25" s="306">
        <v>-0.22959183673469319</v>
      </c>
      <c r="W25" s="307">
        <v>-2</v>
      </c>
      <c r="X25" s="309">
        <v>-4</v>
      </c>
      <c r="Y25" s="283">
        <f>22.2978032701044-((((AVERAGE(K25:N25)+AVERAGE(Q25+AVERAGE(S25:V25))))))</f>
        <v>22.796552643532873</v>
      </c>
      <c r="Z25" s="13"/>
      <c r="AA25" s="13"/>
      <c r="AB25" s="13"/>
      <c r="AC25" s="13"/>
      <c r="AD25" s="13"/>
      <c r="AE25" s="13"/>
      <c r="AF25" s="13"/>
      <c r="AG25" s="13"/>
      <c r="AH25" s="13"/>
      <c r="AI25" s="13"/>
      <c r="AJ25" s="13"/>
      <c r="AK25" s="13"/>
      <c r="AL25" s="13"/>
      <c r="AM25" s="13"/>
      <c r="AN25" s="13"/>
      <c r="AO25" s="13"/>
      <c r="AP25" s="13"/>
      <c r="AQ25" s="13"/>
      <c r="AR25" s="13"/>
      <c r="AS25" s="13"/>
      <c r="AT25" s="13"/>
      <c r="AU25" s="13"/>
      <c r="AV25" s="13"/>
      <c r="AW25" s="13"/>
      <c r="AX25" s="13"/>
      <c r="AY25" s="13"/>
      <c r="AZ25" s="13"/>
      <c r="BA25" s="13"/>
      <c r="BB25" s="13"/>
      <c r="BC25" s="13"/>
      <c r="BD25" s="13"/>
      <c r="BE25" s="13"/>
      <c r="BF25" s="13"/>
      <c r="BG25" s="13"/>
      <c r="BH25" s="13"/>
      <c r="BI25" s="13"/>
      <c r="BJ25" s="13"/>
      <c r="BK25" s="13"/>
      <c r="BL25" s="13"/>
      <c r="BM25" s="13"/>
      <c r="BN25" s="13"/>
      <c r="BO25" s="13"/>
      <c r="BP25" s="13"/>
      <c r="BQ25" s="13"/>
      <c r="BR25" s="13"/>
      <c r="BS25" s="13"/>
      <c r="BT25" s="13"/>
      <c r="BU25" s="13"/>
      <c r="BV25" s="13"/>
      <c r="BW25" s="13"/>
      <c r="BX25" s="13"/>
      <c r="BY25" s="13"/>
      <c r="BZ25" s="13"/>
      <c r="CA25" s="13"/>
      <c r="CB25" s="13"/>
      <c r="CC25" s="13"/>
      <c r="CD25" s="13"/>
      <c r="CE25" s="13"/>
      <c r="CF25" s="13"/>
      <c r="CG25" s="13"/>
      <c r="CH25" s="13"/>
      <c r="CI25" s="13"/>
      <c r="CJ25" s="13"/>
      <c r="CK25" s="13"/>
      <c r="CL25" s="13"/>
      <c r="CM25" s="13"/>
      <c r="CN25" s="13"/>
      <c r="CO25" s="13"/>
      <c r="CP25" s="13"/>
      <c r="CQ25" s="13"/>
      <c r="CR25" s="13"/>
      <c r="CS25" s="13"/>
      <c r="CT25" s="13"/>
      <c r="CU25" s="13"/>
      <c r="CV25" s="13"/>
      <c r="CW25" s="13"/>
      <c r="CX25" s="13"/>
    </row>
    <row r="26" spans="1:102" s="281" customFormat="1">
      <c r="A26" s="281">
        <v>128</v>
      </c>
      <c r="B26" s="281">
        <v>0</v>
      </c>
      <c r="C26" s="282" t="s">
        <v>517</v>
      </c>
      <c r="D26" s="282" t="s">
        <v>516</v>
      </c>
      <c r="E26" s="282" t="s">
        <v>119</v>
      </c>
      <c r="F26" s="282" t="s">
        <v>120</v>
      </c>
      <c r="G26" s="355">
        <v>1</v>
      </c>
      <c r="H26" s="355">
        <v>2</v>
      </c>
      <c r="I26" s="281">
        <v>1</v>
      </c>
      <c r="J26" s="281">
        <v>1</v>
      </c>
      <c r="K26" s="306">
        <v>-0.69497924494323549</v>
      </c>
      <c r="L26" s="306">
        <v>-0.5</v>
      </c>
      <c r="M26" s="306">
        <v>-0.65542805422666639</v>
      </c>
      <c r="N26" s="306">
        <v>-0.25954971282738448</v>
      </c>
      <c r="O26" s="307">
        <v>3</v>
      </c>
      <c r="P26" s="306">
        <v>0.22454763250217891</v>
      </c>
      <c r="Q26" s="306">
        <v>0.38150749262828043</v>
      </c>
      <c r="R26" s="307">
        <v>1</v>
      </c>
      <c r="S26" s="306">
        <v>-1.1434183792491206</v>
      </c>
      <c r="T26" s="306">
        <v>-0.83775848777340745</v>
      </c>
      <c r="U26" s="306">
        <v>-1.0833333333333339</v>
      </c>
      <c r="V26" s="306">
        <v>0</v>
      </c>
      <c r="W26" s="307">
        <v>0</v>
      </c>
      <c r="X26" s="309">
        <v>4</v>
      </c>
      <c r="Y26" s="283">
        <f>23.8165647493644-((((AVERAGE(K26:N26)+AVERAGE(Q26+AVERAGE(S26:V26))))))</f>
        <v>24.728674059824407</v>
      </c>
      <c r="Z26" s="13"/>
      <c r="AA26" s="13"/>
      <c r="AB26" s="13"/>
      <c r="AC26" s="13"/>
      <c r="AD26" s="13"/>
      <c r="AE26" s="13"/>
      <c r="AF26" s="13"/>
      <c r="AG26" s="13"/>
      <c r="AH26" s="13"/>
      <c r="AI26" s="13"/>
      <c r="AJ26" s="13"/>
      <c r="AK26" s="13"/>
      <c r="AL26" s="13"/>
      <c r="AM26" s="13"/>
      <c r="AN26" s="13"/>
      <c r="AO26" s="13"/>
      <c r="AP26" s="13"/>
      <c r="AQ26" s="13"/>
      <c r="AR26" s="13"/>
      <c r="AS26" s="13"/>
      <c r="AT26" s="13"/>
      <c r="AU26" s="13"/>
      <c r="AV26" s="13"/>
      <c r="AW26" s="13"/>
      <c r="AX26" s="13"/>
      <c r="AY26" s="13"/>
      <c r="AZ26" s="13"/>
      <c r="BA26" s="13"/>
      <c r="BB26" s="13"/>
      <c r="BC26" s="13"/>
      <c r="BD26" s="13"/>
      <c r="BE26" s="13"/>
      <c r="BF26" s="13"/>
      <c r="BG26" s="13"/>
      <c r="BH26" s="13"/>
      <c r="BI26" s="13"/>
      <c r="BJ26" s="13"/>
      <c r="BK26" s="13"/>
      <c r="BL26" s="13"/>
      <c r="BM26" s="13"/>
      <c r="BN26" s="13"/>
      <c r="BO26" s="13"/>
      <c r="BP26" s="13"/>
      <c r="BQ26" s="13"/>
      <c r="BR26" s="13"/>
      <c r="BS26" s="13"/>
      <c r="BT26" s="13"/>
      <c r="BU26" s="13"/>
      <c r="BV26" s="13"/>
      <c r="BW26" s="13"/>
      <c r="BX26" s="13"/>
      <c r="BY26" s="13"/>
      <c r="BZ26" s="13"/>
      <c r="CA26" s="13"/>
      <c r="CB26" s="13"/>
      <c r="CC26" s="13"/>
      <c r="CD26" s="13"/>
      <c r="CE26" s="13"/>
      <c r="CF26" s="13"/>
      <c r="CG26" s="13"/>
      <c r="CH26" s="13"/>
      <c r="CI26" s="13"/>
      <c r="CJ26" s="13"/>
      <c r="CK26" s="13"/>
      <c r="CL26" s="13"/>
      <c r="CM26" s="13"/>
      <c r="CN26" s="13"/>
      <c r="CO26" s="13"/>
      <c r="CP26" s="13"/>
      <c r="CQ26" s="13"/>
      <c r="CR26" s="13"/>
      <c r="CS26" s="13"/>
      <c r="CT26" s="13"/>
      <c r="CU26" s="13"/>
      <c r="CV26" s="13"/>
      <c r="CW26" s="13"/>
      <c r="CX26" s="13"/>
    </row>
    <row r="27" spans="1:102" s="281" customFormat="1">
      <c r="A27" s="281">
        <v>143</v>
      </c>
      <c r="B27" s="281">
        <v>0</v>
      </c>
      <c r="C27" s="282" t="s">
        <v>549</v>
      </c>
      <c r="D27" s="282" t="s">
        <v>548</v>
      </c>
      <c r="E27" s="282" t="s">
        <v>111</v>
      </c>
      <c r="F27" s="282" t="s">
        <v>112</v>
      </c>
      <c r="G27" s="355">
        <v>1</v>
      </c>
      <c r="H27" s="355">
        <v>2</v>
      </c>
      <c r="I27" s="281">
        <v>1</v>
      </c>
      <c r="J27" s="281">
        <v>1</v>
      </c>
      <c r="K27" s="306">
        <v>-0.35331985627992335</v>
      </c>
      <c r="L27" s="306">
        <v>-0.53124098124098129</v>
      </c>
      <c r="M27" s="306">
        <v>0.82038021131060379</v>
      </c>
      <c r="N27" s="306">
        <v>-0.26019599481073019</v>
      </c>
      <c r="O27" s="307">
        <v>1</v>
      </c>
      <c r="P27" s="306">
        <v>0.18685922747286288</v>
      </c>
      <c r="Q27" s="306">
        <v>0.2384776593314788</v>
      </c>
      <c r="R27" s="307">
        <v>-1</v>
      </c>
      <c r="S27" s="306">
        <v>-1.0364115584448936</v>
      </c>
      <c r="T27" s="306">
        <v>-0.49239581015729694</v>
      </c>
      <c r="U27" s="306">
        <v>-0.55555555555555625</v>
      </c>
      <c r="V27" s="306">
        <v>0.52380952380952372</v>
      </c>
      <c r="W27" s="307">
        <v>-4</v>
      </c>
      <c r="X27" s="309">
        <v>-4</v>
      </c>
      <c r="Y27" s="283">
        <f>20.2309380664564-((((AVERAGE(K27:N27)+AVERAGE(Q27+AVERAGE(S27:V27))))))</f>
        <v>20.463692912467234</v>
      </c>
      <c r="Z27" s="13"/>
      <c r="AA27" s="13"/>
      <c r="AB27" s="13"/>
      <c r="AC27" s="13"/>
      <c r="AD27" s="13"/>
      <c r="AE27" s="13"/>
      <c r="AF27" s="13"/>
      <c r="AG27" s="13"/>
      <c r="AH27" s="13"/>
      <c r="AI27" s="13"/>
      <c r="AJ27" s="13"/>
      <c r="AK27" s="13"/>
      <c r="AL27" s="13"/>
      <c r="AM27" s="13"/>
      <c r="AN27" s="13"/>
      <c r="AO27" s="13"/>
      <c r="AP27" s="13"/>
      <c r="AQ27" s="13"/>
      <c r="AR27" s="13"/>
      <c r="AS27" s="13"/>
      <c r="AT27" s="13"/>
      <c r="AU27" s="13"/>
      <c r="AV27" s="13"/>
      <c r="AW27" s="13"/>
      <c r="AX27" s="13"/>
      <c r="AY27" s="13"/>
      <c r="AZ27" s="13"/>
      <c r="BA27" s="13"/>
      <c r="BB27" s="13"/>
      <c r="BC27" s="13"/>
      <c r="BD27" s="13"/>
      <c r="BE27" s="13"/>
      <c r="BF27" s="13"/>
      <c r="BG27" s="13"/>
      <c r="BH27" s="13"/>
      <c r="BI27" s="13"/>
      <c r="BJ27" s="13"/>
      <c r="BK27" s="13"/>
      <c r="BL27" s="13"/>
      <c r="BM27" s="13"/>
      <c r="BN27" s="13"/>
      <c r="BO27" s="13"/>
      <c r="BP27" s="13"/>
      <c r="BQ27" s="13"/>
      <c r="BR27" s="13"/>
      <c r="BS27" s="13"/>
      <c r="BT27" s="13"/>
      <c r="BU27" s="13"/>
      <c r="BV27" s="13"/>
      <c r="BW27" s="13"/>
      <c r="BX27" s="13"/>
      <c r="BY27" s="13"/>
      <c r="BZ27" s="13"/>
      <c r="CA27" s="13"/>
      <c r="CB27" s="13"/>
      <c r="CC27" s="13"/>
      <c r="CD27" s="13"/>
      <c r="CE27" s="13"/>
      <c r="CF27" s="13"/>
      <c r="CG27" s="13"/>
      <c r="CH27" s="13"/>
      <c r="CI27" s="13"/>
      <c r="CJ27" s="13"/>
      <c r="CK27" s="13"/>
      <c r="CL27" s="13"/>
      <c r="CM27" s="13"/>
      <c r="CN27" s="13"/>
      <c r="CO27" s="13"/>
      <c r="CP27" s="13"/>
      <c r="CQ27" s="13"/>
      <c r="CR27" s="13"/>
      <c r="CS27" s="13"/>
      <c r="CT27" s="13"/>
      <c r="CU27" s="13"/>
      <c r="CV27" s="13"/>
      <c r="CW27" s="13"/>
      <c r="CX27" s="13"/>
    </row>
    <row r="28" spans="1:102" s="281" customFormat="1">
      <c r="A28" s="281">
        <v>167</v>
      </c>
      <c r="B28" s="281">
        <v>0</v>
      </c>
      <c r="C28" s="282" t="s">
        <v>515</v>
      </c>
      <c r="D28" s="282" t="s">
        <v>514</v>
      </c>
      <c r="E28" s="282" t="s">
        <v>111</v>
      </c>
      <c r="F28" s="282" t="s">
        <v>112</v>
      </c>
      <c r="G28" s="355">
        <v>1</v>
      </c>
      <c r="H28" s="355">
        <v>2</v>
      </c>
      <c r="I28" s="281">
        <v>1</v>
      </c>
      <c r="J28" s="281">
        <v>1</v>
      </c>
      <c r="K28" s="306">
        <v>-0.1682332226975678</v>
      </c>
      <c r="L28" s="306">
        <v>-0.55000000000000071</v>
      </c>
      <c r="M28" s="306">
        <v>0.86926062214335698</v>
      </c>
      <c r="N28" s="306">
        <v>-0.25486972348642212</v>
      </c>
      <c r="O28" s="307">
        <v>-3</v>
      </c>
      <c r="P28" s="306">
        <v>0.40448147559511227</v>
      </c>
      <c r="Q28" s="306">
        <v>0.5206600061454818</v>
      </c>
      <c r="R28" s="307">
        <v>-6</v>
      </c>
      <c r="S28" s="306">
        <v>-1.0947360387525578</v>
      </c>
      <c r="T28" s="306">
        <v>-0.53131827212979843</v>
      </c>
      <c r="U28" s="306">
        <v>-0.94047619047619158</v>
      </c>
      <c r="V28" s="306">
        <v>-0.17857142857142883</v>
      </c>
      <c r="W28" s="307">
        <v>-4</v>
      </c>
      <c r="X28" s="309">
        <v>-13</v>
      </c>
      <c r="Y28" s="283">
        <f>22.4670759096148-((((AVERAGE(K28:N28)+AVERAGE(Q28+AVERAGE(S28:V28))))))</f>
        <v>22.658651966961969</v>
      </c>
      <c r="Z28" s="13"/>
      <c r="AA28" s="13"/>
      <c r="AB28" s="13"/>
      <c r="AC28" s="13"/>
      <c r="AD28" s="13"/>
      <c r="AE28" s="13"/>
      <c r="AF28" s="13"/>
      <c r="AG28" s="13"/>
      <c r="AH28" s="13"/>
      <c r="AI28" s="13"/>
      <c r="AJ28" s="13"/>
      <c r="AK28" s="13"/>
      <c r="AL28" s="13"/>
      <c r="AM28" s="13"/>
      <c r="AN28" s="13"/>
      <c r="AO28" s="13"/>
      <c r="AP28" s="13"/>
      <c r="AQ28" s="13"/>
      <c r="AR28" s="13"/>
      <c r="AS28" s="13"/>
      <c r="AT28" s="13"/>
      <c r="AU28" s="13"/>
      <c r="AV28" s="13"/>
      <c r="AW28" s="13"/>
      <c r="AX28" s="13"/>
      <c r="AY28" s="13"/>
      <c r="AZ28" s="13"/>
      <c r="BA28" s="13"/>
      <c r="BB28" s="13"/>
      <c r="BC28" s="13"/>
      <c r="BD28" s="13"/>
      <c r="BE28" s="13"/>
      <c r="BF28" s="13"/>
      <c r="BG28" s="13"/>
      <c r="BH28" s="13"/>
      <c r="BI28" s="13"/>
      <c r="BJ28" s="13"/>
      <c r="BK28" s="13"/>
      <c r="BL28" s="13"/>
      <c r="BM28" s="13"/>
      <c r="BN28" s="13"/>
      <c r="BO28" s="13"/>
      <c r="BP28" s="13"/>
      <c r="BQ28" s="13"/>
      <c r="BR28" s="13"/>
      <c r="BS28" s="13"/>
      <c r="BT28" s="13"/>
      <c r="BU28" s="13"/>
      <c r="BV28" s="13"/>
      <c r="BW28" s="13"/>
      <c r="BX28" s="13"/>
      <c r="BY28" s="13"/>
      <c r="BZ28" s="13"/>
      <c r="CA28" s="13"/>
      <c r="CB28" s="13"/>
      <c r="CC28" s="13"/>
      <c r="CD28" s="13"/>
      <c r="CE28" s="13"/>
      <c r="CF28" s="13"/>
      <c r="CG28" s="13"/>
      <c r="CH28" s="13"/>
      <c r="CI28" s="13"/>
      <c r="CJ28" s="13"/>
      <c r="CK28" s="13"/>
      <c r="CL28" s="13"/>
      <c r="CM28" s="13"/>
      <c r="CN28" s="13"/>
      <c r="CO28" s="13"/>
      <c r="CP28" s="13"/>
      <c r="CQ28" s="13"/>
      <c r="CR28" s="13"/>
      <c r="CS28" s="13"/>
      <c r="CT28" s="13"/>
      <c r="CU28" s="13"/>
      <c r="CV28" s="13"/>
      <c r="CW28" s="13"/>
      <c r="CX28" s="13"/>
    </row>
    <row r="29" spans="1:102" s="281" customFormat="1">
      <c r="A29" s="281">
        <v>189</v>
      </c>
      <c r="B29" s="281">
        <v>0</v>
      </c>
      <c r="C29" s="282" t="s">
        <v>533</v>
      </c>
      <c r="D29" s="282" t="s">
        <v>160</v>
      </c>
      <c r="E29" s="282" t="s">
        <v>127</v>
      </c>
      <c r="F29" s="282" t="s">
        <v>127</v>
      </c>
      <c r="G29" s="355">
        <v>1</v>
      </c>
      <c r="H29" s="355">
        <v>2</v>
      </c>
      <c r="I29" s="281">
        <v>1</v>
      </c>
      <c r="J29" s="281">
        <v>1</v>
      </c>
      <c r="K29" s="306">
        <v>-0.83695857708386612</v>
      </c>
      <c r="L29" s="306">
        <v>6.4285714285714057E-2</v>
      </c>
      <c r="M29" s="306">
        <v>0.48444541662783625</v>
      </c>
      <c r="N29" s="306">
        <v>4.3607369114267769E-2</v>
      </c>
      <c r="O29" s="307">
        <v>0</v>
      </c>
      <c r="P29" s="306">
        <v>-1.0535271126180215</v>
      </c>
      <c r="Q29" s="306">
        <v>8.1028835330659632E-2</v>
      </c>
      <c r="R29" s="308">
        <v>2</v>
      </c>
      <c r="S29" s="306">
        <v>-1.1923769941442197</v>
      </c>
      <c r="T29" s="306">
        <v>0.28132262714776424</v>
      </c>
      <c r="U29" s="306">
        <v>1.7438095238095226</v>
      </c>
      <c r="V29" s="306">
        <v>1.4285714285714297</v>
      </c>
      <c r="W29" s="308">
        <v>-13</v>
      </c>
      <c r="X29" s="309">
        <v>-11</v>
      </c>
      <c r="Y29" s="283">
        <f>22.2776180583385-((((AVERAGE(K29:N29)+AVERAGE(Q29+AVERAGE(S29:V29))))))</f>
        <v>21.692412595925727</v>
      </c>
      <c r="Z29" s="13"/>
      <c r="AA29" s="13"/>
      <c r="AB29" s="13"/>
      <c r="AC29" s="13"/>
      <c r="AD29" s="13"/>
      <c r="AE29" s="13"/>
      <c r="AF29" s="13"/>
      <c r="AG29" s="13"/>
      <c r="AH29" s="13"/>
      <c r="AI29" s="13"/>
      <c r="AJ29" s="13"/>
      <c r="AK29" s="13"/>
      <c r="AL29" s="13"/>
      <c r="AM29" s="13"/>
      <c r="AN29" s="13"/>
      <c r="AO29" s="13"/>
      <c r="AP29" s="13"/>
      <c r="AQ29" s="13"/>
      <c r="AR29" s="13"/>
      <c r="AS29" s="13"/>
      <c r="AT29" s="13"/>
      <c r="AU29" s="13"/>
      <c r="AV29" s="13"/>
      <c r="AW29" s="13"/>
      <c r="AX29" s="13"/>
      <c r="AY29" s="13"/>
      <c r="AZ29" s="13"/>
      <c r="BA29" s="13"/>
      <c r="BB29" s="13"/>
      <c r="BC29" s="13"/>
      <c r="BD29" s="13"/>
      <c r="BE29" s="13"/>
      <c r="BF29" s="13"/>
      <c r="BG29" s="13"/>
      <c r="BH29" s="13"/>
      <c r="BI29" s="13"/>
      <c r="BJ29" s="13"/>
      <c r="BK29" s="13"/>
      <c r="BL29" s="13"/>
      <c r="BM29" s="13"/>
      <c r="BN29" s="13"/>
      <c r="BO29" s="13"/>
      <c r="BP29" s="13"/>
      <c r="BQ29" s="13"/>
      <c r="BR29" s="13"/>
      <c r="BS29" s="13"/>
      <c r="BT29" s="13"/>
      <c r="BU29" s="13"/>
      <c r="BV29" s="13"/>
      <c r="BW29" s="13"/>
      <c r="BX29" s="13"/>
      <c r="BY29" s="13"/>
      <c r="BZ29" s="13"/>
      <c r="CA29" s="13"/>
      <c r="CB29" s="13"/>
      <c r="CC29" s="13"/>
      <c r="CD29" s="13"/>
      <c r="CE29" s="13"/>
      <c r="CF29" s="13"/>
      <c r="CG29" s="13"/>
      <c r="CH29" s="13"/>
      <c r="CI29" s="13"/>
      <c r="CJ29" s="13"/>
      <c r="CK29" s="13"/>
      <c r="CL29" s="13"/>
      <c r="CM29" s="13"/>
      <c r="CN29" s="13"/>
      <c r="CO29" s="13"/>
      <c r="CP29" s="13"/>
      <c r="CQ29" s="13"/>
      <c r="CR29" s="13"/>
      <c r="CS29" s="13"/>
      <c r="CT29" s="13"/>
      <c r="CU29" s="13"/>
      <c r="CV29" s="13"/>
      <c r="CW29" s="13"/>
      <c r="CX29" s="13"/>
    </row>
    <row r="30" spans="1:102">
      <c r="A30" s="25">
        <v>4</v>
      </c>
      <c r="B30">
        <v>0</v>
      </c>
      <c r="C30" s="252" t="s">
        <v>317</v>
      </c>
      <c r="D30" s="253" t="s">
        <v>316</v>
      </c>
      <c r="E30" s="252" t="s">
        <v>106</v>
      </c>
      <c r="F30" s="252" t="s">
        <v>106</v>
      </c>
      <c r="G30" s="350">
        <v>4</v>
      </c>
      <c r="H30" s="351">
        <v>3</v>
      </c>
      <c r="I30">
        <v>0</v>
      </c>
      <c r="J30">
        <v>0</v>
      </c>
      <c r="K30" s="20">
        <v>-0.18902138562391269</v>
      </c>
      <c r="L30" s="20">
        <v>-5.380952380952353E-2</v>
      </c>
      <c r="M30" s="20">
        <v>-0.42089114553164508</v>
      </c>
      <c r="N30" s="20">
        <v>-0.44102037580786924</v>
      </c>
      <c r="O30" s="311">
        <v>2</v>
      </c>
      <c r="P30" s="20">
        <v>0.59284030279484767</v>
      </c>
      <c r="Q30" s="20">
        <v>0</v>
      </c>
      <c r="R30" s="312">
        <v>2</v>
      </c>
      <c r="S30" s="20">
        <v>7.100778171242883E-4</v>
      </c>
      <c r="T30" s="20">
        <v>-0.4080913784229212</v>
      </c>
      <c r="U30" s="20">
        <v>-0.52380952380952372</v>
      </c>
      <c r="V30" s="20">
        <v>0</v>
      </c>
      <c r="W30" s="312">
        <v>9</v>
      </c>
      <c r="X30" s="313">
        <v>13</v>
      </c>
      <c r="Y30" s="236">
        <f>8.35379351973351-((((AVERAGE(K30:N30)+AVERAGE(Q30+AVERAGE(S30:V30))))))</f>
        <v>8.8627768335305763</v>
      </c>
    </row>
    <row r="31" spans="1:102">
      <c r="A31" s="25">
        <v>9</v>
      </c>
      <c r="B31">
        <v>0</v>
      </c>
      <c r="C31" s="252" t="s">
        <v>261</v>
      </c>
      <c r="D31" s="253" t="s">
        <v>260</v>
      </c>
      <c r="E31" s="252" t="s">
        <v>107</v>
      </c>
      <c r="F31" s="252" t="s">
        <v>108</v>
      </c>
      <c r="G31" s="350">
        <v>4</v>
      </c>
      <c r="H31" s="351">
        <v>4</v>
      </c>
      <c r="I31">
        <v>0</v>
      </c>
      <c r="J31">
        <v>0</v>
      </c>
      <c r="K31" s="305">
        <v>5.9456327807358988E-3</v>
      </c>
      <c r="L31" s="305">
        <v>-0.28571428571428559</v>
      </c>
      <c r="M31" s="305">
        <v>-0.61808034171003845</v>
      </c>
      <c r="N31" s="305">
        <v>-0.16896082734031115</v>
      </c>
      <c r="O31" s="311">
        <v>-2</v>
      </c>
      <c r="P31" s="305">
        <v>0.37406346683619329</v>
      </c>
      <c r="Q31" s="305">
        <v>0.35514215511976222</v>
      </c>
      <c r="R31" s="312">
        <v>1</v>
      </c>
      <c r="S31" s="305">
        <v>-0.26817505026243094</v>
      </c>
      <c r="T31" s="305">
        <v>-6.1092628479064714E-3</v>
      </c>
      <c r="U31" s="305">
        <v>-1.7142857142857135</v>
      </c>
      <c r="V31" s="305">
        <v>-1.4285714285714297</v>
      </c>
      <c r="W31" s="312">
        <v>34</v>
      </c>
      <c r="X31" s="313">
        <v>33</v>
      </c>
      <c r="Y31" s="236">
        <f>14.264960331365-((((AVERAGE(K31:N31)+AVERAGE(Q31+AVERAGE(S31:V31))))))</f>
        <v>15.030805995733083</v>
      </c>
    </row>
    <row r="32" spans="1:102">
      <c r="A32" s="25">
        <v>10</v>
      </c>
      <c r="B32">
        <v>0</v>
      </c>
      <c r="C32" s="252" t="s">
        <v>376</v>
      </c>
      <c r="D32" s="253" t="s">
        <v>375</v>
      </c>
      <c r="E32" s="252" t="s">
        <v>109</v>
      </c>
      <c r="F32" s="252" t="s">
        <v>110</v>
      </c>
      <c r="G32" s="350">
        <v>2</v>
      </c>
      <c r="H32" s="351">
        <v>3</v>
      </c>
      <c r="I32">
        <v>0</v>
      </c>
      <c r="J32">
        <v>0</v>
      </c>
      <c r="K32" s="20">
        <v>-1.2388625676040954</v>
      </c>
      <c r="L32" s="20">
        <v>-0.67817460317460387</v>
      </c>
      <c r="M32" s="20">
        <v>0.25766971891669321</v>
      </c>
      <c r="N32" s="20">
        <v>-0.30536649486506917</v>
      </c>
      <c r="O32" s="311">
        <v>22</v>
      </c>
      <c r="P32" s="20">
        <v>0.26302253890890182</v>
      </c>
      <c r="Q32" s="20">
        <v>0.52834391866805053</v>
      </c>
      <c r="R32" s="312">
        <v>-2</v>
      </c>
      <c r="S32" s="20">
        <v>-0.17071853302001827</v>
      </c>
      <c r="T32" s="20">
        <v>-5.1311588738407465E-3</v>
      </c>
      <c r="U32" s="20">
        <v>-1.1309523809523814</v>
      </c>
      <c r="V32" s="20">
        <v>0</v>
      </c>
      <c r="W32" s="312">
        <v>-3</v>
      </c>
      <c r="X32" s="313">
        <v>17</v>
      </c>
      <c r="Y32" s="236">
        <f>17.9881247940868-((((AVERAGE(K32:N32)+AVERAGE(Q32+AVERAGE(S32:V32))))))</f>
        <v>18.277664880312081</v>
      </c>
    </row>
    <row r="33" spans="1:25">
      <c r="A33" s="25">
        <v>30</v>
      </c>
      <c r="B33">
        <v>0</v>
      </c>
      <c r="C33" s="252" t="s">
        <v>372</v>
      </c>
      <c r="D33" s="253" t="s">
        <v>371</v>
      </c>
      <c r="E33" s="252" t="s">
        <v>113</v>
      </c>
      <c r="F33" s="252" t="s">
        <v>114</v>
      </c>
      <c r="G33" s="350">
        <v>1</v>
      </c>
      <c r="H33" s="351">
        <v>2</v>
      </c>
      <c r="I33">
        <v>0</v>
      </c>
      <c r="J33">
        <v>0</v>
      </c>
      <c r="K33" s="20">
        <v>0.45592496870991717</v>
      </c>
      <c r="L33" s="20">
        <v>-0.25238095238095326</v>
      </c>
      <c r="M33" s="20">
        <v>7.9165466934002726E-2</v>
      </c>
      <c r="N33" s="20">
        <v>-0.28238362786798632</v>
      </c>
      <c r="O33" s="311">
        <v>-17</v>
      </c>
      <c r="P33" s="20">
        <v>0.36542659108568198</v>
      </c>
      <c r="Q33" s="20">
        <v>0.55960033841571999</v>
      </c>
      <c r="R33" s="312">
        <v>-6</v>
      </c>
      <c r="S33" s="20">
        <v>-0.34747061033335802</v>
      </c>
      <c r="T33" s="20">
        <v>-0.26500576837568834</v>
      </c>
      <c r="U33" s="20">
        <v>-0.95238095238095255</v>
      </c>
      <c r="V33" s="20">
        <v>-0.47619047619047628</v>
      </c>
      <c r="W33" s="312">
        <v>14</v>
      </c>
      <c r="X33" s="313">
        <v>-9</v>
      </c>
      <c r="Y33" s="236">
        <f>17.9990281834974-((((AVERAGE(K33:N33)+AVERAGE(Q33+AVERAGE(S33:V33))))))</f>
        <v>17.949608333053057</v>
      </c>
    </row>
    <row r="34" spans="1:25">
      <c r="A34" s="25">
        <v>31</v>
      </c>
      <c r="B34">
        <v>0</v>
      </c>
      <c r="C34" s="252" t="s">
        <v>616</v>
      </c>
      <c r="D34" s="253" t="s">
        <v>615</v>
      </c>
      <c r="E34" s="252" t="s">
        <v>115</v>
      </c>
      <c r="F34" s="252" t="s">
        <v>116</v>
      </c>
      <c r="G34" s="350">
        <v>2</v>
      </c>
      <c r="H34" s="351">
        <v>2</v>
      </c>
      <c r="I34">
        <v>0</v>
      </c>
      <c r="J34">
        <v>0</v>
      </c>
      <c r="K34" s="305">
        <v>-0.7599860372164553</v>
      </c>
      <c r="L34" s="305">
        <v>-0.39852813852813807</v>
      </c>
      <c r="M34" s="305">
        <v>0.53010878981821685</v>
      </c>
      <c r="N34" s="305">
        <v>-0.27064117597849346</v>
      </c>
      <c r="O34" s="311">
        <v>3</v>
      </c>
      <c r="P34" s="305">
        <v>0.47420101363283251</v>
      </c>
      <c r="Q34" s="305">
        <v>0.11870138012211751</v>
      </c>
      <c r="R34" s="312">
        <v>9</v>
      </c>
      <c r="S34" s="305">
        <v>-0.60254017737141297</v>
      </c>
      <c r="T34" s="305">
        <v>-0.43684753117287567</v>
      </c>
      <c r="U34" s="305">
        <v>-0.92536796536796562</v>
      </c>
      <c r="V34" s="305">
        <v>0</v>
      </c>
      <c r="W34" s="312">
        <v>2</v>
      </c>
      <c r="X34" s="313">
        <v>14</v>
      </c>
      <c r="Y34" s="236">
        <f>19.1036960200379-((((AVERAGE(K34:N34)+AVERAGE(Q34+AVERAGE(S34:V34))))))</f>
        <v>19.700945198870066</v>
      </c>
    </row>
    <row r="35" spans="1:25">
      <c r="A35" s="25">
        <v>43</v>
      </c>
      <c r="B35">
        <v>0</v>
      </c>
      <c r="C35" s="252" t="s">
        <v>638</v>
      </c>
      <c r="D35" s="253" t="s">
        <v>637</v>
      </c>
      <c r="E35" s="252" t="s">
        <v>109</v>
      </c>
      <c r="F35" s="252" t="s">
        <v>117</v>
      </c>
      <c r="G35" s="350">
        <v>2</v>
      </c>
      <c r="H35" s="351">
        <v>3</v>
      </c>
      <c r="I35">
        <v>0</v>
      </c>
      <c r="J35">
        <v>0</v>
      </c>
      <c r="K35" s="305">
        <v>-2.9067666818391995</v>
      </c>
      <c r="L35" s="305">
        <v>-0.46357142857142808</v>
      </c>
      <c r="M35" s="305">
        <v>0.78200212975599293</v>
      </c>
      <c r="N35" s="305">
        <v>-9.7723764597220431E-2</v>
      </c>
      <c r="O35" s="311">
        <v>27</v>
      </c>
      <c r="P35" s="305">
        <v>0.48144363212545027</v>
      </c>
      <c r="Q35" s="305">
        <v>0.24145115374405091</v>
      </c>
      <c r="R35" s="312">
        <v>1</v>
      </c>
      <c r="S35" s="305">
        <v>0.19940785768908764</v>
      </c>
      <c r="T35" s="305">
        <v>-0.40857923420962727</v>
      </c>
      <c r="U35" s="305">
        <v>0.10476190476190528</v>
      </c>
      <c r="V35" s="305">
        <v>0.71428571428571352</v>
      </c>
      <c r="W35" s="312">
        <v>-26</v>
      </c>
      <c r="X35" s="313">
        <v>2</v>
      </c>
      <c r="Y35" s="236">
        <f>18.5913762019805-((((AVERAGE(K35:N35)+AVERAGE(Q35+AVERAGE(S35:V35))))))</f>
        <v>18.86897092391764</v>
      </c>
    </row>
    <row r="36" spans="1:25">
      <c r="A36" s="25">
        <v>45</v>
      </c>
      <c r="B36">
        <v>0</v>
      </c>
      <c r="C36" s="252" t="s">
        <v>255</v>
      </c>
      <c r="D36" s="253" t="s">
        <v>254</v>
      </c>
      <c r="E36" s="252" t="s">
        <v>115</v>
      </c>
      <c r="F36" s="252" t="s">
        <v>118</v>
      </c>
      <c r="G36" s="350">
        <v>2</v>
      </c>
      <c r="H36" s="351">
        <v>2</v>
      </c>
      <c r="I36">
        <v>0</v>
      </c>
      <c r="J36">
        <v>0</v>
      </c>
      <c r="K36" s="20">
        <v>-0.61203637336396888</v>
      </c>
      <c r="L36" s="20">
        <v>8.9285714285714413E-2</v>
      </c>
      <c r="M36" s="20">
        <v>0.24777522214196335</v>
      </c>
      <c r="N36" s="20">
        <v>0.31554242500115137</v>
      </c>
      <c r="O36" s="311">
        <v>-20</v>
      </c>
      <c r="P36" s="20">
        <v>0.32640740152103831</v>
      </c>
      <c r="Q36" s="20">
        <v>0</v>
      </c>
      <c r="R36" s="312">
        <v>1</v>
      </c>
      <c r="S36" s="20">
        <v>0.68078809559561582</v>
      </c>
      <c r="T36" s="20">
        <v>-0.22587666731398226</v>
      </c>
      <c r="U36" s="20">
        <v>0</v>
      </c>
      <c r="V36" s="20">
        <v>0</v>
      </c>
      <c r="W36" s="312">
        <v>-14</v>
      </c>
      <c r="X36" s="313">
        <v>-33</v>
      </c>
      <c r="Y36" s="236">
        <f>11.0346013901022-((((AVERAGE(K36:N36)+AVERAGE(Q36+AVERAGE(S36:V36))))))</f>
        <v>10.910731786015576</v>
      </c>
    </row>
    <row r="37" spans="1:25">
      <c r="A37" s="25">
        <v>57</v>
      </c>
      <c r="B37">
        <v>0</v>
      </c>
      <c r="C37" s="252" t="s">
        <v>384</v>
      </c>
      <c r="D37" s="253" t="s">
        <v>383</v>
      </c>
      <c r="E37" s="252" t="s">
        <v>109</v>
      </c>
      <c r="F37" s="252" t="s">
        <v>117</v>
      </c>
      <c r="G37" s="350">
        <v>2</v>
      </c>
      <c r="H37" s="351">
        <v>3</v>
      </c>
      <c r="I37">
        <v>0</v>
      </c>
      <c r="J37">
        <v>0</v>
      </c>
      <c r="K37" s="20">
        <v>-0.43248043546524872</v>
      </c>
      <c r="L37" s="20">
        <v>0.13928571428571423</v>
      </c>
      <c r="M37" s="20">
        <v>0.94670051370168196</v>
      </c>
      <c r="N37" s="20">
        <v>-0.27586224297434381</v>
      </c>
      <c r="O37" s="311">
        <v>-20</v>
      </c>
      <c r="P37" s="20">
        <v>0.38795369781733591</v>
      </c>
      <c r="Q37" s="20">
        <v>0.34887467617350776</v>
      </c>
      <c r="R37" s="312">
        <v>-8</v>
      </c>
      <c r="S37" s="20">
        <v>-0.22798955862023895</v>
      </c>
      <c r="T37" s="20">
        <v>0.28932139577887472</v>
      </c>
      <c r="U37" s="20">
        <v>7.1428571428571175E-2</v>
      </c>
      <c r="V37" s="20">
        <v>1.4285714285714297</v>
      </c>
      <c r="W37" s="312">
        <v>-31</v>
      </c>
      <c r="X37" s="313">
        <v>-59</v>
      </c>
      <c r="Y37" s="236">
        <f>17.7562523121682-((((AVERAGE(K37:N37)+AVERAGE(Q37+AVERAGE(S37:V37))))))</f>
        <v>16.922633789318084</v>
      </c>
    </row>
    <row r="38" spans="1:25">
      <c r="A38" s="25">
        <v>59</v>
      </c>
      <c r="B38">
        <v>0</v>
      </c>
      <c r="C38" s="252" t="s">
        <v>322</v>
      </c>
      <c r="D38" s="253" t="s">
        <v>321</v>
      </c>
      <c r="E38" s="252" t="s">
        <v>107</v>
      </c>
      <c r="F38" s="252" t="s">
        <v>121</v>
      </c>
      <c r="G38" s="350">
        <v>4</v>
      </c>
      <c r="H38" s="351">
        <v>4</v>
      </c>
      <c r="I38">
        <v>0</v>
      </c>
      <c r="J38">
        <v>0</v>
      </c>
      <c r="K38" s="305">
        <v>1.3944511272309459</v>
      </c>
      <c r="L38" s="305">
        <v>6.4999999999999947E-2</v>
      </c>
      <c r="M38" s="305">
        <v>-0.62805718986737413</v>
      </c>
      <c r="N38" s="305">
        <v>-0.31686362480478536</v>
      </c>
      <c r="O38" s="311">
        <v>-11</v>
      </c>
      <c r="P38" s="305">
        <v>0.70665954415954424</v>
      </c>
      <c r="Q38" s="305">
        <v>8.7837913766563247E-2</v>
      </c>
      <c r="R38" s="312">
        <v>2</v>
      </c>
      <c r="S38" s="305">
        <v>-8.0818553573596352E-2</v>
      </c>
      <c r="T38" s="305">
        <v>-4.9147377961244132E-2</v>
      </c>
      <c r="U38" s="305">
        <v>0</v>
      </c>
      <c r="V38" s="305">
        <v>0</v>
      </c>
      <c r="W38" s="312">
        <v>6</v>
      </c>
      <c r="X38" s="313">
        <v>-3</v>
      </c>
      <c r="Y38" s="236">
        <f>13.3996193785291-((((AVERAGE(K38:N38)+AVERAGE(Q38+AVERAGE(S38:V38))))))</f>
        <v>13.215640369506549</v>
      </c>
    </row>
    <row r="39" spans="1:25">
      <c r="A39" s="25">
        <v>69</v>
      </c>
      <c r="B39">
        <v>0</v>
      </c>
      <c r="C39" s="252" t="s">
        <v>249</v>
      </c>
      <c r="D39" s="253" t="s">
        <v>248</v>
      </c>
      <c r="E39" s="252" t="s">
        <v>107</v>
      </c>
      <c r="F39" s="252" t="s">
        <v>122</v>
      </c>
      <c r="G39" s="350">
        <v>4</v>
      </c>
      <c r="H39" s="351">
        <v>3</v>
      </c>
      <c r="I39">
        <v>0</v>
      </c>
      <c r="J39">
        <v>0</v>
      </c>
      <c r="K39" s="20">
        <v>-0.42040544008951475</v>
      </c>
      <c r="L39" s="20">
        <v>0.11785714285714288</v>
      </c>
      <c r="M39" s="20">
        <v>-0.54587026275806161</v>
      </c>
      <c r="N39" s="20">
        <v>-0.16605782284418424</v>
      </c>
      <c r="O39" s="311">
        <v>-4</v>
      </c>
      <c r="P39" s="20">
        <v>0.52903877351604578</v>
      </c>
      <c r="Q39" s="20">
        <v>0.25195566667481906</v>
      </c>
      <c r="R39" s="312">
        <v>-1</v>
      </c>
      <c r="S39" s="20">
        <v>-0.95784313791694942</v>
      </c>
      <c r="T39" s="20">
        <v>0.58714099820013566</v>
      </c>
      <c r="U39" s="20">
        <v>0</v>
      </c>
      <c r="V39" s="20">
        <v>0</v>
      </c>
      <c r="W39" s="312">
        <v>-8</v>
      </c>
      <c r="X39" s="313">
        <v>-13</v>
      </c>
      <c r="Y39" s="236">
        <f>15.3084602863621-((((AVERAGE(K39:N39)+AVERAGE(Q39+AVERAGE(S39:V39))))))</f>
        <v>15.40279925032514</v>
      </c>
    </row>
    <row r="40" spans="1:25">
      <c r="A40" s="25">
        <v>79</v>
      </c>
      <c r="B40">
        <v>0</v>
      </c>
      <c r="C40" s="252" t="s">
        <v>502</v>
      </c>
      <c r="D40" s="253" t="s">
        <v>501</v>
      </c>
      <c r="E40" s="252" t="s">
        <v>107</v>
      </c>
      <c r="F40" s="252" t="s">
        <v>122</v>
      </c>
      <c r="G40" s="350">
        <v>4</v>
      </c>
      <c r="H40" s="351">
        <v>3</v>
      </c>
      <c r="I40">
        <v>0</v>
      </c>
      <c r="J40">
        <v>0</v>
      </c>
      <c r="K40" s="305">
        <v>2.1516893613261141</v>
      </c>
      <c r="L40" s="305">
        <v>-1.2453571428571433</v>
      </c>
      <c r="M40" s="305">
        <v>-0.65783218620918205</v>
      </c>
      <c r="N40" s="305">
        <v>-0.21869321414420462</v>
      </c>
      <c r="O40" s="311">
        <v>-11</v>
      </c>
      <c r="P40" s="305">
        <v>0.40205353653080866</v>
      </c>
      <c r="Q40" s="305">
        <v>0.25475368483108873</v>
      </c>
      <c r="R40" s="312">
        <v>-2</v>
      </c>
      <c r="S40" s="305">
        <v>-0.57526625373300666</v>
      </c>
      <c r="T40" s="305">
        <v>0.58453011536959654</v>
      </c>
      <c r="U40" s="305">
        <v>0</v>
      </c>
      <c r="V40" s="305">
        <v>0</v>
      </c>
      <c r="W40" s="312">
        <v>-1</v>
      </c>
      <c r="X40" s="313">
        <v>-14</v>
      </c>
      <c r="Y40" s="236">
        <f>14.5962571758014-((((AVERAGE(K40:N40)+AVERAGE(Q40+AVERAGE(S40:V40))))))</f>
        <v>14.331735821032268</v>
      </c>
    </row>
    <row r="41" spans="1:25">
      <c r="A41" s="25">
        <v>82</v>
      </c>
      <c r="B41">
        <v>0</v>
      </c>
      <c r="C41" s="252" t="s">
        <v>267</v>
      </c>
      <c r="D41" s="253" t="s">
        <v>266</v>
      </c>
      <c r="E41" s="252" t="s">
        <v>106</v>
      </c>
      <c r="F41" s="252" t="s">
        <v>106</v>
      </c>
      <c r="G41" s="350">
        <v>4</v>
      </c>
      <c r="H41" s="351">
        <v>3</v>
      </c>
      <c r="I41">
        <v>0</v>
      </c>
      <c r="J41">
        <v>0</v>
      </c>
      <c r="K41" s="20">
        <v>0.19397070710970343</v>
      </c>
      <c r="L41" s="20">
        <v>-4.357142857142815E-2</v>
      </c>
      <c r="M41" s="20">
        <v>0.1112228288079824</v>
      </c>
      <c r="N41" s="20">
        <v>-0.3788173561732382</v>
      </c>
      <c r="O41" s="311">
        <v>-6</v>
      </c>
      <c r="P41" s="20">
        <v>0.44055353653080864</v>
      </c>
      <c r="Q41" s="20">
        <v>0.59308734728174972</v>
      </c>
      <c r="R41" s="312">
        <v>-18</v>
      </c>
      <c r="S41" s="20">
        <v>-0.42995243472982336</v>
      </c>
      <c r="T41" s="20">
        <v>-0.40496402696125955</v>
      </c>
      <c r="U41" s="20">
        <v>-0.42857142857142883</v>
      </c>
      <c r="V41" s="20">
        <v>-0.35714285714285765</v>
      </c>
      <c r="W41" s="312">
        <v>9</v>
      </c>
      <c r="X41" s="313">
        <v>-15</v>
      </c>
      <c r="Y41" s="236">
        <f>14.6606266000593-((((AVERAGE(K41:N41)+AVERAGE(Q41+AVERAGE(S41:V41))))))</f>
        <v>14.501995751835638</v>
      </c>
    </row>
    <row r="42" spans="1:25">
      <c r="A42" s="25">
        <v>84</v>
      </c>
      <c r="B42">
        <v>0</v>
      </c>
      <c r="C42" s="252" t="s">
        <v>584</v>
      </c>
      <c r="D42" s="253" t="s">
        <v>583</v>
      </c>
      <c r="E42" s="252" t="s">
        <v>111</v>
      </c>
      <c r="F42" s="252" t="s">
        <v>110</v>
      </c>
      <c r="G42" s="350">
        <v>2</v>
      </c>
      <c r="H42" s="351">
        <v>2</v>
      </c>
      <c r="I42">
        <v>0</v>
      </c>
      <c r="J42">
        <v>0</v>
      </c>
      <c r="K42" s="305">
        <v>-0.1894669560419171</v>
      </c>
      <c r="L42" s="305">
        <v>-0.40793650793650738</v>
      </c>
      <c r="M42" s="305">
        <v>0.8724926940225437</v>
      </c>
      <c r="N42" s="305">
        <v>-0.22082642224186166</v>
      </c>
      <c r="O42" s="311">
        <v>-2</v>
      </c>
      <c r="P42" s="305">
        <v>0.28021309246309212</v>
      </c>
      <c r="Q42" s="305">
        <v>4.7099531733945987E-2</v>
      </c>
      <c r="R42" s="312">
        <v>12</v>
      </c>
      <c r="S42" s="305">
        <v>-0.21354133391305652</v>
      </c>
      <c r="T42" s="305">
        <v>-0.36570004960499602</v>
      </c>
      <c r="U42" s="305">
        <v>-0.47301587301587311</v>
      </c>
      <c r="V42" s="305">
        <v>0</v>
      </c>
      <c r="W42" s="312">
        <v>-4</v>
      </c>
      <c r="X42" s="313">
        <v>6</v>
      </c>
      <c r="Y42" s="236">
        <f>19.9614438182263-((((AVERAGE(K42:N42)+AVERAGE(Q42+AVERAGE(S42:V42))))))</f>
        <v>20.16384289867527</v>
      </c>
    </row>
    <row r="43" spans="1:25">
      <c r="A43" s="25">
        <v>87</v>
      </c>
      <c r="B43">
        <v>0</v>
      </c>
      <c r="C43" s="252" t="s">
        <v>362</v>
      </c>
      <c r="D43" s="253" t="s">
        <v>361</v>
      </c>
      <c r="E43" s="252" t="s">
        <v>113</v>
      </c>
      <c r="F43" s="252" t="s">
        <v>114</v>
      </c>
      <c r="G43" s="350">
        <v>1</v>
      </c>
      <c r="H43" s="351">
        <v>2</v>
      </c>
      <c r="I43">
        <v>0</v>
      </c>
      <c r="J43">
        <v>0</v>
      </c>
      <c r="K43" s="20">
        <v>2.5120794375584232E-2</v>
      </c>
      <c r="L43" s="20">
        <v>-0.25</v>
      </c>
      <c r="M43" s="20">
        <v>0.57307289572197151</v>
      </c>
      <c r="N43" s="20">
        <v>-4.4845450725208735E-2</v>
      </c>
      <c r="O43" s="311">
        <v>-30</v>
      </c>
      <c r="P43" s="20">
        <v>0.37827777189140832</v>
      </c>
      <c r="Q43" s="20">
        <v>0.4926103934681425</v>
      </c>
      <c r="R43" s="312">
        <v>-3</v>
      </c>
      <c r="S43" s="20">
        <v>-1.8118108678406986</v>
      </c>
      <c r="T43" s="20">
        <v>-0.18671090057885742</v>
      </c>
      <c r="U43" s="20">
        <v>0</v>
      </c>
      <c r="V43" s="20">
        <v>0</v>
      </c>
      <c r="W43" s="312">
        <v>12</v>
      </c>
      <c r="X43" s="313">
        <v>-21</v>
      </c>
      <c r="Y43" s="236">
        <f>18.0228106745425-((((AVERAGE(K43:N43)+AVERAGE(Q43+AVERAGE(S43:V43))))))</f>
        <v>17.95399366333616</v>
      </c>
    </row>
    <row r="44" spans="1:25">
      <c r="A44" s="25">
        <v>101</v>
      </c>
      <c r="B44">
        <v>0</v>
      </c>
      <c r="C44" s="252" t="s">
        <v>630</v>
      </c>
      <c r="D44" s="253" t="s">
        <v>123</v>
      </c>
      <c r="E44" s="252" t="s">
        <v>115</v>
      </c>
      <c r="F44" s="252" t="s">
        <v>118</v>
      </c>
      <c r="G44" s="350">
        <v>2</v>
      </c>
      <c r="H44" s="351">
        <v>2</v>
      </c>
      <c r="I44">
        <v>0</v>
      </c>
      <c r="J44">
        <v>0</v>
      </c>
      <c r="K44" s="20">
        <v>-0.43135521557460077</v>
      </c>
      <c r="L44" s="20">
        <v>-0.38492063492063533</v>
      </c>
      <c r="M44" s="20">
        <v>0.81696629940142085</v>
      </c>
      <c r="N44" s="20">
        <v>-0.24552519247543092</v>
      </c>
      <c r="O44" s="311">
        <v>-11</v>
      </c>
      <c r="P44" s="20">
        <v>0.28196295707659402</v>
      </c>
      <c r="Q44" s="20">
        <v>7.1237556342822472E-3</v>
      </c>
      <c r="R44" s="312">
        <v>13</v>
      </c>
      <c r="S44" s="20">
        <v>-2.6253563423934514</v>
      </c>
      <c r="T44" s="20">
        <v>-0.5965197480983373</v>
      </c>
      <c r="U44" s="20">
        <v>1.3571428571428568</v>
      </c>
      <c r="V44" s="20">
        <v>-0.85714285714285676</v>
      </c>
      <c r="W44" s="312">
        <v>21</v>
      </c>
      <c r="X44" s="313">
        <v>23</v>
      </c>
      <c r="Y44" s="236">
        <f>18.127094674255-((((AVERAGE(K44:N44)+AVERAGE(Q44+AVERAGE(S44:V44))))))</f>
        <v>18.861648627135978</v>
      </c>
    </row>
    <row r="45" spans="1:25">
      <c r="A45" s="25">
        <v>105</v>
      </c>
      <c r="B45">
        <v>0</v>
      </c>
      <c r="C45" s="252" t="s">
        <v>452</v>
      </c>
      <c r="D45" s="253" t="s">
        <v>451</v>
      </c>
      <c r="E45" s="252" t="s">
        <v>109</v>
      </c>
      <c r="F45" s="252" t="s">
        <v>110</v>
      </c>
      <c r="G45" s="350">
        <v>2</v>
      </c>
      <c r="H45" s="351">
        <v>3</v>
      </c>
      <c r="I45">
        <v>0</v>
      </c>
      <c r="J45">
        <v>0</v>
      </c>
      <c r="K45" s="20">
        <v>-0.17052189823307007</v>
      </c>
      <c r="L45" s="20">
        <v>-0.27777777777777768</v>
      </c>
      <c r="M45" s="20">
        <v>0.33101785119513849</v>
      </c>
      <c r="N45" s="20">
        <v>-0.25949455114055997</v>
      </c>
      <c r="O45" s="311">
        <v>-13</v>
      </c>
      <c r="P45" s="20">
        <v>0.3746111052247425</v>
      </c>
      <c r="Q45" s="20">
        <v>0.56652732877059098</v>
      </c>
      <c r="R45" s="312">
        <v>-11</v>
      </c>
      <c r="S45" s="20">
        <v>-0.14925242036254627</v>
      </c>
      <c r="T45" s="20">
        <v>-0.14209632495820479</v>
      </c>
      <c r="U45" s="20">
        <v>-0.88888888888888928</v>
      </c>
      <c r="V45" s="20">
        <v>0</v>
      </c>
      <c r="W45" s="312">
        <v>1</v>
      </c>
      <c r="X45" s="313">
        <v>-23</v>
      </c>
      <c r="Y45" s="236">
        <f>16.3586467867412-((((AVERAGE(K45:N45)+AVERAGE(Q45+AVERAGE(S45:V45))))))</f>
        <v>16.181372960512086</v>
      </c>
    </row>
    <row r="46" spans="1:25">
      <c r="A46" s="25">
        <v>108</v>
      </c>
      <c r="B46">
        <v>0</v>
      </c>
      <c r="C46" s="252" t="s">
        <v>412</v>
      </c>
      <c r="D46" s="253" t="s">
        <v>411</v>
      </c>
      <c r="E46" s="252" t="s">
        <v>109</v>
      </c>
      <c r="F46" s="252" t="s">
        <v>117</v>
      </c>
      <c r="G46" s="350">
        <v>2</v>
      </c>
      <c r="H46" s="351">
        <v>2</v>
      </c>
      <c r="I46">
        <v>0</v>
      </c>
      <c r="J46">
        <v>0</v>
      </c>
      <c r="K46" s="305">
        <v>-0.59202837763643767</v>
      </c>
      <c r="L46" s="305">
        <v>0.25</v>
      </c>
      <c r="M46" s="305">
        <v>1.1643316271258382</v>
      </c>
      <c r="N46" s="305">
        <v>-4.0792995200668258E-2</v>
      </c>
      <c r="O46" s="311">
        <v>-9</v>
      </c>
      <c r="P46" s="305">
        <v>0.38418585034494068</v>
      </c>
      <c r="Q46" s="305">
        <v>0.59134963168562038</v>
      </c>
      <c r="R46" s="312">
        <v>-18</v>
      </c>
      <c r="S46" s="305">
        <v>0.11583998165820031</v>
      </c>
      <c r="T46" s="305">
        <v>-0.18478713457821438</v>
      </c>
      <c r="U46" s="305">
        <v>0</v>
      </c>
      <c r="V46" s="305">
        <v>0</v>
      </c>
      <c r="W46" s="312">
        <v>-8</v>
      </c>
      <c r="X46" s="313">
        <v>-35</v>
      </c>
      <c r="Y46" s="236">
        <f>17.2910233310643-((((AVERAGE(K46:N46)+AVERAGE(Q46+AVERAGE(S46:V46))))))</f>
        <v>16.521532924036499</v>
      </c>
    </row>
    <row r="47" spans="1:25">
      <c r="A47" s="25">
        <v>116</v>
      </c>
      <c r="B47">
        <v>0</v>
      </c>
      <c r="C47" s="252" t="s">
        <v>612</v>
      </c>
      <c r="D47" s="253" t="s">
        <v>611</v>
      </c>
      <c r="E47" s="252" t="s">
        <v>115</v>
      </c>
      <c r="F47" s="252" t="s">
        <v>124</v>
      </c>
      <c r="G47" s="350">
        <v>2</v>
      </c>
      <c r="H47" s="351">
        <v>3</v>
      </c>
      <c r="I47">
        <v>0</v>
      </c>
      <c r="J47">
        <v>0</v>
      </c>
      <c r="K47" s="20">
        <v>-0.60954567471619825</v>
      </c>
      <c r="L47" s="20">
        <v>-2.9761904761904212E-2</v>
      </c>
      <c r="M47" s="20">
        <v>-7.2087719706613207E-2</v>
      </c>
      <c r="N47" s="20">
        <v>-0.3217430372376473</v>
      </c>
      <c r="O47" s="311">
        <v>-3</v>
      </c>
      <c r="P47" s="20">
        <v>0.38856480892844658</v>
      </c>
      <c r="Q47" s="20">
        <v>0.12173499452276637</v>
      </c>
      <c r="R47" s="312">
        <v>8</v>
      </c>
      <c r="S47" s="20">
        <v>-0.65914430154216808</v>
      </c>
      <c r="T47" s="20">
        <v>-1.1962436275164494</v>
      </c>
      <c r="U47" s="20">
        <v>1.4404761904761898</v>
      </c>
      <c r="V47" s="20">
        <v>1.1038961038961048</v>
      </c>
      <c r="W47" s="312">
        <v>-18</v>
      </c>
      <c r="X47" s="313">
        <v>-13</v>
      </c>
      <c r="Y47" s="236">
        <f>18.635797663796-((((AVERAGE(K47:N47)+AVERAGE(Q47+AVERAGE(S47:V47))))))</f>
        <v>18.600101162050407</v>
      </c>
    </row>
    <row r="48" spans="1:25">
      <c r="A48" s="25">
        <v>130</v>
      </c>
      <c r="B48">
        <v>0</v>
      </c>
      <c r="C48" s="252" t="s">
        <v>424</v>
      </c>
      <c r="D48" s="253" t="s">
        <v>423</v>
      </c>
      <c r="E48" s="252" t="s">
        <v>115</v>
      </c>
      <c r="F48" s="252" t="s">
        <v>116</v>
      </c>
      <c r="G48" s="350">
        <v>3</v>
      </c>
      <c r="H48" s="351">
        <v>3</v>
      </c>
      <c r="I48">
        <v>0</v>
      </c>
      <c r="J48">
        <v>0</v>
      </c>
      <c r="K48" s="305">
        <v>-0.31941239794083032</v>
      </c>
      <c r="L48" s="305">
        <v>-0.53121693121693081</v>
      </c>
      <c r="M48" s="305">
        <v>7.2664124792530593E-2</v>
      </c>
      <c r="N48" s="305">
        <v>3.9343408350793752E-3</v>
      </c>
      <c r="O48" s="311">
        <v>-7</v>
      </c>
      <c r="P48" s="305">
        <v>0.49724663888300391</v>
      </c>
      <c r="Q48" s="305">
        <v>-0.19551722146689698</v>
      </c>
      <c r="R48" s="312">
        <v>21</v>
      </c>
      <c r="S48" s="305">
        <v>-0.35811138326504777</v>
      </c>
      <c r="T48" s="305">
        <v>-9.8784673864217076E-2</v>
      </c>
      <c r="U48" s="305">
        <v>0.82010582010582</v>
      </c>
      <c r="V48" s="305">
        <v>1.2142857142857153</v>
      </c>
      <c r="W48" s="312">
        <v>-35</v>
      </c>
      <c r="X48" s="313">
        <v>-21</v>
      </c>
      <c r="Y48" s="236">
        <f>16.6552925760238-((((AVERAGE(K48:N48)+AVERAGE(Q48+AVERAGE(S48:V48))))))</f>
        <v>16.649943644057668</v>
      </c>
    </row>
    <row r="49" spans="1:25">
      <c r="A49" s="25">
        <v>131</v>
      </c>
      <c r="B49">
        <v>0</v>
      </c>
      <c r="C49" s="252" t="s">
        <v>662</v>
      </c>
      <c r="D49" s="253" t="s">
        <v>661</v>
      </c>
      <c r="E49" s="252" t="s">
        <v>115</v>
      </c>
      <c r="F49" s="252" t="s">
        <v>116</v>
      </c>
      <c r="G49" s="350">
        <v>2</v>
      </c>
      <c r="H49" s="351">
        <v>2</v>
      </c>
      <c r="I49">
        <v>0</v>
      </c>
      <c r="J49">
        <v>0</v>
      </c>
      <c r="K49" s="20">
        <v>-0.8654337233858671</v>
      </c>
      <c r="L49" s="20">
        <v>-0.41190476190476222</v>
      </c>
      <c r="M49" s="20">
        <v>1.816287357638835E-2</v>
      </c>
      <c r="N49" s="20">
        <v>-8.877549337677948E-2</v>
      </c>
      <c r="O49" s="311">
        <v>1</v>
      </c>
      <c r="P49" s="20">
        <v>0.68313485672576579</v>
      </c>
      <c r="Q49" s="20">
        <v>0.13958558030429913</v>
      </c>
      <c r="R49" s="312">
        <v>0</v>
      </c>
      <c r="S49" s="20">
        <v>-0.39956328565433541</v>
      </c>
      <c r="T49" s="20">
        <v>0.14542213875810983</v>
      </c>
      <c r="U49" s="20">
        <v>1.4632034632034632</v>
      </c>
      <c r="V49" s="20">
        <v>2.6470588235294104</v>
      </c>
      <c r="W49" s="312">
        <v>-49</v>
      </c>
      <c r="X49" s="313">
        <v>-48</v>
      </c>
      <c r="Y49" s="236">
        <f>19.4400725773956-((((AVERAGE(K49:N49)+AVERAGE(Q49+AVERAGE(S49:V49))))))</f>
        <v>18.673444488404893</v>
      </c>
    </row>
    <row r="50" spans="1:25">
      <c r="A50" s="25">
        <v>134</v>
      </c>
      <c r="B50">
        <v>0</v>
      </c>
      <c r="C50" s="252" t="s">
        <v>604</v>
      </c>
      <c r="D50" s="253" t="s">
        <v>603</v>
      </c>
      <c r="E50" s="252" t="s">
        <v>115</v>
      </c>
      <c r="F50" s="252" t="s">
        <v>118</v>
      </c>
      <c r="G50" s="350">
        <v>1</v>
      </c>
      <c r="H50" s="351">
        <v>2</v>
      </c>
      <c r="I50">
        <v>0</v>
      </c>
      <c r="J50">
        <v>0</v>
      </c>
      <c r="K50" s="305">
        <v>-0.77281088856788749</v>
      </c>
      <c r="L50" s="305">
        <v>0.37619047619047574</v>
      </c>
      <c r="M50" s="305">
        <v>2.4782355027156866</v>
      </c>
      <c r="N50" s="305">
        <v>-8.2030467943626562E-2</v>
      </c>
      <c r="O50" s="311">
        <v>-14</v>
      </c>
      <c r="P50" s="305">
        <v>0.32931480892844611</v>
      </c>
      <c r="Q50" s="305">
        <v>-1.599109237993801E-2</v>
      </c>
      <c r="R50" s="312">
        <v>7</v>
      </c>
      <c r="S50" s="305">
        <v>-3.0526312707317373</v>
      </c>
      <c r="T50" s="305">
        <v>-0.44208416768040415</v>
      </c>
      <c r="U50" s="305">
        <v>1.1904761904761907</v>
      </c>
      <c r="V50" s="305">
        <v>-0.28571428571428559</v>
      </c>
      <c r="W50" s="312">
        <v>23</v>
      </c>
      <c r="X50" s="313">
        <v>16</v>
      </c>
      <c r="Y50" s="236">
        <f>19.6224187032975-((((AVERAGE(K50:N50)+AVERAGE(Q50+AVERAGE(S50:V50))))))</f>
        <v>19.786002023491335</v>
      </c>
    </row>
    <row r="51" spans="1:25">
      <c r="A51" s="25">
        <v>144</v>
      </c>
      <c r="B51">
        <v>0</v>
      </c>
      <c r="C51" s="252" t="s">
        <v>448</v>
      </c>
      <c r="D51" s="253" t="s">
        <v>447</v>
      </c>
      <c r="E51" s="252" t="s">
        <v>119</v>
      </c>
      <c r="F51" s="252" t="s">
        <v>125</v>
      </c>
      <c r="G51" s="350">
        <v>1</v>
      </c>
      <c r="H51" s="351">
        <v>2</v>
      </c>
      <c r="I51">
        <v>0</v>
      </c>
      <c r="J51">
        <v>0</v>
      </c>
      <c r="K51" s="305">
        <v>1.1065472442909812</v>
      </c>
      <c r="L51" s="305">
        <v>2.9642857142857144</v>
      </c>
      <c r="M51" s="305">
        <v>-0.53083465679172415</v>
      </c>
      <c r="N51" s="305">
        <v>-0.10071163335831557</v>
      </c>
      <c r="O51" s="311">
        <v>-81</v>
      </c>
      <c r="P51" s="305">
        <v>0.5414212227166777</v>
      </c>
      <c r="Q51" s="305">
        <v>0</v>
      </c>
      <c r="R51" s="312">
        <v>3</v>
      </c>
      <c r="S51" s="305">
        <v>-2.1480083083383743</v>
      </c>
      <c r="T51" s="305">
        <v>-1.1352263071633759</v>
      </c>
      <c r="U51" s="305">
        <v>-0.85714285714285676</v>
      </c>
      <c r="V51" s="305">
        <v>0</v>
      </c>
      <c r="W51" s="312">
        <v>42</v>
      </c>
      <c r="X51" s="313">
        <v>-36</v>
      </c>
      <c r="Y51" s="236">
        <f>11.3047754405767-((((AVERAGE(K51:N51)+AVERAGE(Q51+AVERAGE(S51:V51))))))</f>
        <v>11.480048141631187</v>
      </c>
    </row>
    <row r="52" spans="1:25">
      <c r="A52" s="25">
        <v>166</v>
      </c>
      <c r="B52">
        <v>0</v>
      </c>
      <c r="C52" s="252" t="s">
        <v>614</v>
      </c>
      <c r="D52" s="253" t="s">
        <v>613</v>
      </c>
      <c r="E52" s="252" t="s">
        <v>106</v>
      </c>
      <c r="F52" s="252" t="s">
        <v>106</v>
      </c>
      <c r="G52" s="350">
        <v>3</v>
      </c>
      <c r="H52" s="351">
        <v>3</v>
      </c>
      <c r="I52">
        <v>0</v>
      </c>
      <c r="J52">
        <v>0</v>
      </c>
      <c r="K52" s="20">
        <v>1.0337580445949506</v>
      </c>
      <c r="L52" s="20">
        <v>-0.25</v>
      </c>
      <c r="M52" s="20">
        <v>6.9429162093656904E-2</v>
      </c>
      <c r="N52" s="20">
        <v>-0.96777762496007114</v>
      </c>
      <c r="O52" s="311">
        <v>-18</v>
      </c>
      <c r="P52" s="20">
        <v>0.38920571095571077</v>
      </c>
      <c r="Q52" s="20">
        <v>0.1840745707807887</v>
      </c>
      <c r="R52" s="312">
        <v>3</v>
      </c>
      <c r="S52" s="20">
        <v>-0.37342765671077593</v>
      </c>
      <c r="T52" s="20">
        <v>-0.705398863962305</v>
      </c>
      <c r="U52" s="20">
        <v>-1.333333333333333</v>
      </c>
      <c r="V52" s="20">
        <v>-0.35714285714285587</v>
      </c>
      <c r="W52" s="312">
        <v>5</v>
      </c>
      <c r="X52" s="313">
        <v>-10</v>
      </c>
      <c r="Y52" s="236">
        <f>19.1983660601158-((((AVERAGE(K52:N52)+AVERAGE(Q52+AVERAGE(S52:V52))))))</f>
        <v>19.735264771690193</v>
      </c>
    </row>
    <row r="53" spans="1:25">
      <c r="A53" s="25">
        <v>185</v>
      </c>
      <c r="B53">
        <v>0</v>
      </c>
      <c r="C53" s="252" t="s">
        <v>586</v>
      </c>
      <c r="D53" s="253" t="s">
        <v>585</v>
      </c>
      <c r="E53" s="252" t="s">
        <v>107</v>
      </c>
      <c r="F53" s="252" t="s">
        <v>108</v>
      </c>
      <c r="G53" s="350">
        <v>3</v>
      </c>
      <c r="H53" s="351">
        <v>2</v>
      </c>
      <c r="I53">
        <v>0</v>
      </c>
      <c r="J53">
        <v>0</v>
      </c>
      <c r="K53" s="305">
        <v>-0.89485517579950802</v>
      </c>
      <c r="L53" s="305">
        <v>-0.4702380952380949</v>
      </c>
      <c r="M53" s="305">
        <v>-1.0556271852856127</v>
      </c>
      <c r="N53" s="305">
        <v>-0.29502329508542324</v>
      </c>
      <c r="O53" s="311">
        <v>26</v>
      </c>
      <c r="P53" s="305">
        <v>0.45691920957830057</v>
      </c>
      <c r="Q53" s="305">
        <v>0.37955221062433253</v>
      </c>
      <c r="R53" s="312">
        <v>-3</v>
      </c>
      <c r="S53" s="305">
        <v>-0.54459674374972833</v>
      </c>
      <c r="T53" s="305">
        <v>-0.50932940412789396</v>
      </c>
      <c r="U53" s="305">
        <v>-0.94940476190476275</v>
      </c>
      <c r="V53" s="305">
        <v>1.0892857142857153</v>
      </c>
      <c r="W53" s="312">
        <v>-10</v>
      </c>
      <c r="X53" s="313">
        <v>13</v>
      </c>
      <c r="Y53" s="236">
        <f>20.0612413715479-((((AVERAGE(K53:N53)+AVERAGE(Q53+AVERAGE(S53:V53))))))</f>
        <v>20.589136397649895</v>
      </c>
    </row>
    <row r="54" spans="1:25">
      <c r="A54" s="25">
        <v>1</v>
      </c>
      <c r="B54">
        <v>0</v>
      </c>
      <c r="C54" s="252" t="s">
        <v>298</v>
      </c>
      <c r="D54" s="253" t="s">
        <v>297</v>
      </c>
      <c r="E54" s="252" t="s">
        <v>107</v>
      </c>
      <c r="F54" s="252" t="s">
        <v>126</v>
      </c>
      <c r="G54" s="350">
        <v>4</v>
      </c>
      <c r="H54" s="351">
        <v>3</v>
      </c>
      <c r="I54">
        <v>0</v>
      </c>
      <c r="J54">
        <v>0</v>
      </c>
      <c r="K54" s="305">
        <v>-0.72038860279332262</v>
      </c>
      <c r="L54" s="305">
        <v>0.14500000000000002</v>
      </c>
      <c r="M54" s="305">
        <v>-0.7334513560702498</v>
      </c>
      <c r="N54" s="305">
        <v>-0.16795066076648446</v>
      </c>
      <c r="O54" s="311">
        <v>4</v>
      </c>
      <c r="P54" s="305">
        <v>0.40717524899343083</v>
      </c>
      <c r="Q54" s="305">
        <v>0.22778711923040529</v>
      </c>
      <c r="R54" s="312">
        <v>7</v>
      </c>
      <c r="S54" s="305">
        <v>-0.34332646334478989</v>
      </c>
      <c r="T54" s="305">
        <v>-1.4691571662169611E-2</v>
      </c>
      <c r="U54" s="305">
        <v>0</v>
      </c>
      <c r="V54" s="305">
        <v>0</v>
      </c>
      <c r="W54" s="312">
        <v>1</v>
      </c>
      <c r="X54" s="313">
        <v>12</v>
      </c>
      <c r="Y54" s="236">
        <f>12.3458056834137-((((AVERAGE(K54:N54)+AVERAGE(Q54+AVERAGE(S54:V54))))))</f>
        <v>12.576720727842549</v>
      </c>
    </row>
    <row r="55" spans="1:25">
      <c r="A55" s="25">
        <v>5</v>
      </c>
      <c r="B55">
        <v>0</v>
      </c>
      <c r="C55" s="252" t="s">
        <v>578</v>
      </c>
      <c r="D55" s="253" t="s">
        <v>577</v>
      </c>
      <c r="E55" s="252" t="s">
        <v>115</v>
      </c>
      <c r="F55" s="252" t="s">
        <v>116</v>
      </c>
      <c r="G55" s="350">
        <v>2</v>
      </c>
      <c r="H55" s="351">
        <v>2</v>
      </c>
      <c r="I55">
        <v>0</v>
      </c>
      <c r="J55">
        <v>0</v>
      </c>
      <c r="K55" s="20">
        <v>-0.11726925123882204</v>
      </c>
      <c r="L55" s="20">
        <v>-0.16453634085213054</v>
      </c>
      <c r="M55" s="20">
        <v>-0.36208528192446776</v>
      </c>
      <c r="N55" s="20">
        <v>-0.25762738949462793</v>
      </c>
      <c r="O55" s="311">
        <v>6</v>
      </c>
      <c r="P55" s="20">
        <v>0.41180823385368903</v>
      </c>
      <c r="Q55" s="20">
        <v>0.2407440620145529</v>
      </c>
      <c r="R55" s="312">
        <v>1</v>
      </c>
      <c r="S55" s="20">
        <v>-0.77407622383146579</v>
      </c>
      <c r="T55" s="20">
        <v>-0.11668942866221954</v>
      </c>
      <c r="U55" s="20">
        <v>1.5062656641604013</v>
      </c>
      <c r="V55" s="20">
        <v>-6.0728744939270385E-2</v>
      </c>
      <c r="W55" s="312">
        <v>-18</v>
      </c>
      <c r="X55" s="313">
        <v>-11</v>
      </c>
      <c r="Y55" s="236">
        <f>21.6470391428973-((((AVERAGE(K55:N55)+AVERAGE(Q55+AVERAGE(S55:V55))))))</f>
        <v>21.492981830078396</v>
      </c>
    </row>
    <row r="56" spans="1:25">
      <c r="A56">
        <v>6</v>
      </c>
      <c r="B56">
        <v>0</v>
      </c>
      <c r="C56" s="252" t="s">
        <v>400</v>
      </c>
      <c r="D56" s="253" t="s">
        <v>399</v>
      </c>
      <c r="E56" s="252" t="s">
        <v>119</v>
      </c>
      <c r="F56" s="252" t="s">
        <v>128</v>
      </c>
      <c r="G56" s="350">
        <v>3</v>
      </c>
      <c r="H56" s="351">
        <v>3</v>
      </c>
      <c r="I56">
        <v>0</v>
      </c>
      <c r="J56">
        <v>0</v>
      </c>
      <c r="K56" s="305">
        <v>0.54326995585765481</v>
      </c>
      <c r="L56" s="305">
        <v>-0.46071428571428541</v>
      </c>
      <c r="M56" s="305">
        <v>0.5497499935915191</v>
      </c>
      <c r="N56" s="305">
        <v>-0.34698360721128729</v>
      </c>
      <c r="O56" s="311">
        <v>-24</v>
      </c>
      <c r="P56" s="305">
        <v>-0.1043833910197538</v>
      </c>
      <c r="Q56" s="305">
        <v>8.2077865212770718E-3</v>
      </c>
      <c r="R56" s="312">
        <v>13</v>
      </c>
      <c r="S56" s="305">
        <v>-0.65485611235833963</v>
      </c>
      <c r="T56" s="305">
        <v>0.23538636106550825</v>
      </c>
      <c r="U56" s="305">
        <v>-0.60317460317460281</v>
      </c>
      <c r="V56" s="305">
        <v>0.3392857142857153</v>
      </c>
      <c r="W56" s="312">
        <v>-1</v>
      </c>
      <c r="X56" s="313">
        <v>-12</v>
      </c>
      <c r="Y56" s="236">
        <f>19.108783729594-((((AVERAGE(K56:N56)+AVERAGE(Q56+AVERAGE(S56:V56))))))</f>
        <v>19.200085088987251</v>
      </c>
    </row>
    <row r="57" spans="1:25">
      <c r="A57">
        <v>7</v>
      </c>
      <c r="B57">
        <v>0</v>
      </c>
      <c r="C57" s="252" t="s">
        <v>271</v>
      </c>
      <c r="D57" s="253" t="s">
        <v>129</v>
      </c>
      <c r="E57" s="252" t="s">
        <v>107</v>
      </c>
      <c r="F57" s="252" t="s">
        <v>122</v>
      </c>
      <c r="G57" s="350">
        <v>4</v>
      </c>
      <c r="H57" s="351">
        <v>3</v>
      </c>
      <c r="I57">
        <v>0</v>
      </c>
      <c r="J57">
        <v>0</v>
      </c>
      <c r="K57" s="20">
        <v>1.7167995896490842</v>
      </c>
      <c r="L57" s="20">
        <v>-0.23999999999999977</v>
      </c>
      <c r="M57" s="20">
        <v>-0.46180023644073609</v>
      </c>
      <c r="N57" s="20">
        <v>-0.17805408639135489</v>
      </c>
      <c r="O57" s="311">
        <v>-18</v>
      </c>
      <c r="P57" s="20">
        <v>0.44658399849308861</v>
      </c>
      <c r="Q57" s="20">
        <v>0.15517133236974612</v>
      </c>
      <c r="R57" s="312">
        <v>0</v>
      </c>
      <c r="S57" s="20">
        <v>-1.4838705930202896</v>
      </c>
      <c r="T57" s="20">
        <v>0.40643282239713852</v>
      </c>
      <c r="U57" s="20">
        <v>0</v>
      </c>
      <c r="V57" s="20">
        <v>0</v>
      </c>
      <c r="W57" s="312">
        <v>2</v>
      </c>
      <c r="X57" s="313">
        <v>-16</v>
      </c>
      <c r="Y57" s="236">
        <f>15.0369926702921-((((AVERAGE(K57:N57)+AVERAGE(Q57+AVERAGE(S57:V57))))))</f>
        <v>14.941944463873893</v>
      </c>
    </row>
    <row r="58" spans="1:25">
      <c r="A58">
        <v>8</v>
      </c>
      <c r="B58">
        <v>0</v>
      </c>
      <c r="C58" s="252" t="s">
        <v>263</v>
      </c>
      <c r="D58" s="253" t="s">
        <v>262</v>
      </c>
      <c r="E58" s="252" t="s">
        <v>107</v>
      </c>
      <c r="F58" s="252" t="s">
        <v>126</v>
      </c>
      <c r="G58" s="350">
        <v>4</v>
      </c>
      <c r="H58" s="351">
        <v>3</v>
      </c>
      <c r="I58">
        <v>0</v>
      </c>
      <c r="J58">
        <v>0</v>
      </c>
      <c r="K58" s="20">
        <v>0.24122979895422159</v>
      </c>
      <c r="L58" s="20">
        <v>6.0238095238095646E-2</v>
      </c>
      <c r="M58" s="20">
        <v>-0.74497961684040881</v>
      </c>
      <c r="N58" s="20">
        <v>-1.0347583722760234E-2</v>
      </c>
      <c r="O58" s="311">
        <v>-11</v>
      </c>
      <c r="P58" s="20">
        <v>0.48985439476348613</v>
      </c>
      <c r="Q58" s="20">
        <v>0.16546186463458135</v>
      </c>
      <c r="R58" s="312">
        <v>0</v>
      </c>
      <c r="S58" s="20">
        <v>-0.59108070075976249</v>
      </c>
      <c r="T58" s="20">
        <v>0.10249609033984619</v>
      </c>
      <c r="U58" s="20">
        <v>0.42857142857142883</v>
      </c>
      <c r="V58" s="20">
        <v>0</v>
      </c>
      <c r="W58" s="312">
        <v>-8</v>
      </c>
      <c r="X58" s="313">
        <v>-19</v>
      </c>
      <c r="Y58" s="236">
        <f>15.7612412420866-((((AVERAGE(K58:N58)+AVERAGE(Q58+AVERAGE(S58:V58))))))</f>
        <v>15.724247499506854</v>
      </c>
    </row>
    <row r="59" spans="1:25">
      <c r="A59">
        <v>11</v>
      </c>
      <c r="B59">
        <v>0</v>
      </c>
      <c r="C59" s="252" t="s">
        <v>130</v>
      </c>
      <c r="D59" s="253" t="s">
        <v>131</v>
      </c>
      <c r="E59" s="252" t="s">
        <v>107</v>
      </c>
      <c r="F59" s="252" t="s">
        <v>126</v>
      </c>
      <c r="G59" s="350">
        <v>4</v>
      </c>
      <c r="H59" s="351">
        <v>4</v>
      </c>
      <c r="I59">
        <v>0</v>
      </c>
      <c r="J59">
        <v>0</v>
      </c>
      <c r="K59" s="20">
        <v>0.63034018766901667</v>
      </c>
      <c r="L59" s="20">
        <v>0.43499999999999983</v>
      </c>
      <c r="M59" s="20">
        <v>-0.34886026322736985</v>
      </c>
      <c r="N59" s="20">
        <v>-0.33038543630305739</v>
      </c>
      <c r="O59" s="311">
        <v>-8</v>
      </c>
      <c r="P59" s="20">
        <v>0.36276784158602382</v>
      </c>
      <c r="Q59" s="20">
        <v>0.23298052531937952</v>
      </c>
      <c r="R59" s="312">
        <v>2</v>
      </c>
      <c r="S59" s="20">
        <v>-0.71124560083650357</v>
      </c>
      <c r="T59" s="20">
        <v>3.6423455175595976E-3</v>
      </c>
      <c r="U59" s="20">
        <v>0</v>
      </c>
      <c r="V59" s="20">
        <v>0.71428571428571486</v>
      </c>
      <c r="W59" s="312">
        <v>4</v>
      </c>
      <c r="X59" s="313">
        <v>-2</v>
      </c>
      <c r="Y59" s="236">
        <f>12.7909730232043-((((AVERAGE(K59:N59)+AVERAGE(Q59+AVERAGE(S59:V59))))))</f>
        <v>12.459798261108581</v>
      </c>
    </row>
    <row r="60" spans="1:25">
      <c r="A60">
        <v>12</v>
      </c>
      <c r="B60">
        <v>0</v>
      </c>
      <c r="C60" s="252" t="s">
        <v>279</v>
      </c>
      <c r="D60" s="253" t="s">
        <v>132</v>
      </c>
      <c r="E60" s="252" t="s">
        <v>107</v>
      </c>
      <c r="F60" s="252" t="s">
        <v>126</v>
      </c>
      <c r="G60" s="350">
        <v>3</v>
      </c>
      <c r="H60" s="351">
        <v>3</v>
      </c>
      <c r="I60">
        <v>0</v>
      </c>
      <c r="J60">
        <v>0</v>
      </c>
      <c r="K60" s="20">
        <v>-0.6108075647090887</v>
      </c>
      <c r="L60" s="20">
        <v>-0.25499999999999989</v>
      </c>
      <c r="M60" s="20">
        <v>-1.0873606307313115</v>
      </c>
      <c r="N60" s="20">
        <v>9.1977126222710481E-2</v>
      </c>
      <c r="O60" s="311">
        <v>10</v>
      </c>
      <c r="P60" s="20">
        <v>0.25467457794730475</v>
      </c>
      <c r="Q60" s="20">
        <v>-0.21183680091543788</v>
      </c>
      <c r="R60" s="312">
        <v>10</v>
      </c>
      <c r="S60" s="20">
        <v>6.1173016359815424E-2</v>
      </c>
      <c r="T60" s="20">
        <v>-0.27701043395846048</v>
      </c>
      <c r="U60" s="20">
        <v>0</v>
      </c>
      <c r="V60" s="20">
        <v>-0.71428571428571486</v>
      </c>
      <c r="W60" s="312">
        <v>2</v>
      </c>
      <c r="X60" s="313">
        <v>22</v>
      </c>
      <c r="Y60" s="236">
        <f>12.5197909977088-((((AVERAGE(K60:N60)+AVERAGE(Q60+AVERAGE(S60:V60))))))</f>
        <v>13.42945634889975</v>
      </c>
    </row>
    <row r="61" spans="1:25">
      <c r="A61">
        <v>14</v>
      </c>
      <c r="B61">
        <v>0</v>
      </c>
      <c r="C61" s="252" t="s">
        <v>396</v>
      </c>
      <c r="D61" s="253" t="s">
        <v>395</v>
      </c>
      <c r="E61" s="252" t="s">
        <v>115</v>
      </c>
      <c r="F61" s="252" t="s">
        <v>116</v>
      </c>
      <c r="G61" s="350">
        <v>2</v>
      </c>
      <c r="H61" s="351">
        <v>3</v>
      </c>
      <c r="I61">
        <v>0</v>
      </c>
      <c r="J61">
        <v>0</v>
      </c>
      <c r="K61" s="20">
        <v>-0.34956064286567923</v>
      </c>
      <c r="L61" s="20">
        <v>-0.18753968253968267</v>
      </c>
      <c r="M61" s="20">
        <v>0.29104461558152295</v>
      </c>
      <c r="N61" s="20">
        <v>-0.2993401734949579</v>
      </c>
      <c r="O61" s="311">
        <v>-9</v>
      </c>
      <c r="P61" s="20">
        <v>0.60677710084528336</v>
      </c>
      <c r="Q61" s="20">
        <v>0.61295392967256568</v>
      </c>
      <c r="R61" s="312">
        <v>-31</v>
      </c>
      <c r="S61" s="20">
        <v>-0.7647966064643823</v>
      </c>
      <c r="T61" s="20">
        <v>-0.86799455096660694</v>
      </c>
      <c r="U61" s="20">
        <v>1.6488095238095242</v>
      </c>
      <c r="V61" s="20">
        <v>-0.27777777777777768</v>
      </c>
      <c r="W61" s="312">
        <v>-7</v>
      </c>
      <c r="X61" s="313">
        <v>-47</v>
      </c>
      <c r="Y61" s="236">
        <f>18.8317397517361-((((AVERAGE(K61:N61)+AVERAGE(Q61+AVERAGE(S61:V61))))))</f>
        <v>18.420574645743045</v>
      </c>
    </row>
    <row r="62" spans="1:25">
      <c r="A62">
        <v>15</v>
      </c>
      <c r="B62">
        <v>0</v>
      </c>
      <c r="C62" s="252" t="s">
        <v>281</v>
      </c>
      <c r="D62" s="253" t="s">
        <v>280</v>
      </c>
      <c r="E62" s="252" t="s">
        <v>107</v>
      </c>
      <c r="F62" s="252" t="s">
        <v>133</v>
      </c>
      <c r="G62" s="350">
        <v>4</v>
      </c>
      <c r="H62" s="351">
        <v>3</v>
      </c>
      <c r="I62">
        <v>0</v>
      </c>
      <c r="J62">
        <v>0</v>
      </c>
      <c r="K62" s="305">
        <v>-1.4950144498957396</v>
      </c>
      <c r="L62" s="305">
        <v>-7.5000000000000178E-2</v>
      </c>
      <c r="M62" s="305">
        <v>-0.97415161924350557</v>
      </c>
      <c r="N62" s="305">
        <v>-4.715479805972933E-2</v>
      </c>
      <c r="O62" s="311">
        <v>31</v>
      </c>
      <c r="P62" s="305">
        <v>4.3277777777777775</v>
      </c>
      <c r="Q62" s="305">
        <v>-4.3318782767153241</v>
      </c>
      <c r="R62" s="312">
        <v>-2</v>
      </c>
      <c r="S62" s="305">
        <v>-2.4263866635275049</v>
      </c>
      <c r="T62" s="305">
        <v>2.8293632868728262</v>
      </c>
      <c r="U62" s="305">
        <v>0</v>
      </c>
      <c r="V62" s="305">
        <v>0</v>
      </c>
      <c r="W62" s="312">
        <v>-16</v>
      </c>
      <c r="X62" s="313">
        <v>13</v>
      </c>
      <c r="Y62" s="236">
        <f>10.2914080464521-((((AVERAGE(K62:N62)+AVERAGE(Q62+AVERAGE(S62:V62))))))</f>
        <v>15.170372384130836</v>
      </c>
    </row>
    <row r="63" spans="1:25">
      <c r="A63">
        <v>16</v>
      </c>
      <c r="B63">
        <v>0</v>
      </c>
      <c r="C63" s="252" t="s">
        <v>366</v>
      </c>
      <c r="D63" s="253" t="s">
        <v>365</v>
      </c>
      <c r="E63" s="252" t="s">
        <v>107</v>
      </c>
      <c r="F63" s="252" t="s">
        <v>122</v>
      </c>
      <c r="G63" s="350">
        <v>3</v>
      </c>
      <c r="H63" s="351">
        <v>3</v>
      </c>
      <c r="I63">
        <v>0</v>
      </c>
      <c r="J63">
        <v>0</v>
      </c>
      <c r="K63" s="20">
        <v>-1.741000975066286</v>
      </c>
      <c r="L63" s="20">
        <v>0</v>
      </c>
      <c r="M63" s="20">
        <v>-0.65894522928981658</v>
      </c>
      <c r="N63" s="20">
        <v>-0.11143953049468269</v>
      </c>
      <c r="O63" s="311">
        <v>26</v>
      </c>
      <c r="P63" s="20">
        <v>6.8934343434343441</v>
      </c>
      <c r="Q63" s="20">
        <v>0.32874886272387016</v>
      </c>
      <c r="R63" s="312">
        <v>-120</v>
      </c>
      <c r="S63" s="20">
        <v>8.1725274850592111E-2</v>
      </c>
      <c r="T63" s="20">
        <v>3.6182678957552428</v>
      </c>
      <c r="U63" s="20">
        <v>0</v>
      </c>
      <c r="V63" s="20">
        <v>0</v>
      </c>
      <c r="W63" s="312">
        <v>-61</v>
      </c>
      <c r="X63" s="313">
        <v>-155</v>
      </c>
      <c r="Y63" s="236">
        <f>17.830300453894-((((AVERAGE(K63:N63)+AVERAGE(Q63+AVERAGE(S63:V63))))))</f>
        <v>17.204399732231369</v>
      </c>
    </row>
    <row r="64" spans="1:25">
      <c r="A64">
        <v>17</v>
      </c>
      <c r="B64">
        <v>0</v>
      </c>
      <c r="C64" s="252" t="s">
        <v>594</v>
      </c>
      <c r="D64" s="253" t="s">
        <v>593</v>
      </c>
      <c r="E64" s="252" t="s">
        <v>115</v>
      </c>
      <c r="F64" s="252" t="s">
        <v>124</v>
      </c>
      <c r="G64" s="350">
        <v>2</v>
      </c>
      <c r="H64" s="351">
        <v>2</v>
      </c>
      <c r="I64">
        <v>0</v>
      </c>
      <c r="J64">
        <v>0</v>
      </c>
      <c r="K64" s="20">
        <v>-3.8017052954609554E-2</v>
      </c>
      <c r="L64" s="20">
        <v>-0.35833333333333339</v>
      </c>
      <c r="M64" s="20">
        <v>8.3160435794242815E-2</v>
      </c>
      <c r="N64" s="20">
        <v>-0.24046943139382648</v>
      </c>
      <c r="O64" s="311">
        <v>0</v>
      </c>
      <c r="P64" s="20">
        <v>0.41967659108568167</v>
      </c>
      <c r="Q64" s="20">
        <v>0.24514607760309204</v>
      </c>
      <c r="R64" s="312">
        <v>-1</v>
      </c>
      <c r="S64" s="20">
        <v>-0.28853029823414733</v>
      </c>
      <c r="T64" s="20">
        <v>0.38787157713588361</v>
      </c>
      <c r="U64" s="20">
        <v>1.7261904761904754</v>
      </c>
      <c r="V64" s="20">
        <v>0.76530612244897789</v>
      </c>
      <c r="W64" s="312">
        <v>-42</v>
      </c>
      <c r="X64" s="313">
        <v>-43</v>
      </c>
      <c r="Y64" s="236">
        <f>20.4367779238052-((((AVERAGE(K64:N64)+AVERAGE(Q64+AVERAGE(S64:V64))))))</f>
        <v>19.682337222288691</v>
      </c>
    </row>
    <row r="65" spans="1:25">
      <c r="A65">
        <v>18</v>
      </c>
      <c r="B65">
        <v>0</v>
      </c>
      <c r="C65" s="252" t="s">
        <v>388</v>
      </c>
      <c r="D65" s="253" t="s">
        <v>387</v>
      </c>
      <c r="E65" s="252" t="s">
        <v>115</v>
      </c>
      <c r="F65" s="252" t="s">
        <v>118</v>
      </c>
      <c r="G65" s="350">
        <v>2</v>
      </c>
      <c r="H65" s="351">
        <v>1</v>
      </c>
      <c r="I65">
        <v>0</v>
      </c>
      <c r="J65">
        <v>0</v>
      </c>
      <c r="K65" s="305">
        <v>0.60501138876939287</v>
      </c>
      <c r="L65" s="305">
        <v>-0.43650793650793673</v>
      </c>
      <c r="M65" s="305">
        <v>2.8645727781023718</v>
      </c>
      <c r="N65" s="305">
        <v>-0.4107095337739155</v>
      </c>
      <c r="O65" s="311">
        <v>-16</v>
      </c>
      <c r="P65" s="305">
        <v>-0.22676302064938447</v>
      </c>
      <c r="Q65" s="305">
        <v>-3.0635752415451023E-3</v>
      </c>
      <c r="R65" s="312">
        <v>10</v>
      </c>
      <c r="S65" s="305">
        <v>-0.35105961271822439</v>
      </c>
      <c r="T65" s="305">
        <v>-0.10788198089632672</v>
      </c>
      <c r="U65" s="305">
        <v>1.0571428571428569</v>
      </c>
      <c r="V65" s="305">
        <v>-0.71428571428571352</v>
      </c>
      <c r="W65" s="312">
        <v>-14</v>
      </c>
      <c r="X65" s="313">
        <v>-20</v>
      </c>
      <c r="Y65" s="236">
        <f>16.355647299149-((((AVERAGE(K65:N65)+AVERAGE(Q65+AVERAGE(S65:V65))))))</f>
        <v>15.732140312932417</v>
      </c>
    </row>
    <row r="66" spans="1:25">
      <c r="A66">
        <v>20</v>
      </c>
      <c r="B66">
        <v>0</v>
      </c>
      <c r="C66" s="252" t="s">
        <v>580</v>
      </c>
      <c r="D66" s="253" t="s">
        <v>579</v>
      </c>
      <c r="E66" s="252" t="s">
        <v>111</v>
      </c>
      <c r="F66" s="252" t="s">
        <v>110</v>
      </c>
      <c r="G66" s="350">
        <v>1</v>
      </c>
      <c r="H66" s="351">
        <v>2</v>
      </c>
      <c r="I66">
        <v>1</v>
      </c>
      <c r="J66">
        <v>0</v>
      </c>
      <c r="K66" s="305">
        <v>1.7191433504788023E-2</v>
      </c>
      <c r="L66" s="305">
        <v>-0.81587301587301653</v>
      </c>
      <c r="M66" s="305">
        <v>0.83758627508288797</v>
      </c>
      <c r="N66" s="305">
        <v>-0.31737462270662942</v>
      </c>
      <c r="O66" s="311">
        <v>1</v>
      </c>
      <c r="P66" s="305">
        <v>0.39995436886345992</v>
      </c>
      <c r="Q66" s="305">
        <v>0.35890383424767158</v>
      </c>
      <c r="R66" s="312">
        <v>-1</v>
      </c>
      <c r="S66" s="305">
        <v>-0.84613296078752276</v>
      </c>
      <c r="T66" s="305">
        <v>-0.6008312651727632</v>
      </c>
      <c r="U66" s="305">
        <v>-0.84126984126984095</v>
      </c>
      <c r="V66" s="305">
        <v>-0.47619047619047628</v>
      </c>
      <c r="W66" s="312">
        <v>13</v>
      </c>
      <c r="X66" s="313">
        <v>13</v>
      </c>
      <c r="Y66" s="236">
        <f>20.9661627181564-((((AVERAGE(K66:N66)+AVERAGE(Q66+AVERAGE(S66:V66))))))</f>
        <v>21.367982502261871</v>
      </c>
    </row>
    <row r="67" spans="1:25">
      <c r="A67">
        <v>22</v>
      </c>
      <c r="B67">
        <v>0</v>
      </c>
      <c r="C67" s="252" t="s">
        <v>305</v>
      </c>
      <c r="D67" s="253" t="s">
        <v>304</v>
      </c>
      <c r="E67" s="252" t="s">
        <v>107</v>
      </c>
      <c r="F67" s="252" t="s">
        <v>121</v>
      </c>
      <c r="G67" s="350">
        <v>4</v>
      </c>
      <c r="H67" s="351">
        <v>3</v>
      </c>
      <c r="I67">
        <v>0</v>
      </c>
      <c r="J67">
        <v>0</v>
      </c>
      <c r="K67" s="20">
        <v>-2.6306897737341997</v>
      </c>
      <c r="L67" s="20">
        <v>-0.19190476190476158</v>
      </c>
      <c r="M67" s="20">
        <v>0.10885636544508248</v>
      </c>
      <c r="N67" s="20">
        <v>-0.32125317393666553</v>
      </c>
      <c r="O67" s="311">
        <v>16</v>
      </c>
      <c r="P67" s="20">
        <v>6.6749676249676249</v>
      </c>
      <c r="Q67" s="20">
        <v>0.19451797258039427</v>
      </c>
      <c r="R67" s="312">
        <v>-78</v>
      </c>
      <c r="S67" s="20">
        <v>-6.4284304664695036E-2</v>
      </c>
      <c r="T67" s="20">
        <v>1.2638756622825982</v>
      </c>
      <c r="U67" s="20">
        <v>-0.28571428571428559</v>
      </c>
      <c r="V67" s="20">
        <v>0</v>
      </c>
      <c r="W67" s="312">
        <v>-2</v>
      </c>
      <c r="X67" s="313">
        <v>-64</v>
      </c>
      <c r="Y67" s="236">
        <f>12.4448460799359-((((AVERAGE(K67:N67)+AVERAGE(Q67+AVERAGE(S67:V67))))))</f>
        <v>12.780606675412237</v>
      </c>
    </row>
    <row r="68" spans="1:25">
      <c r="A68">
        <v>23</v>
      </c>
      <c r="B68">
        <v>0</v>
      </c>
      <c r="C68" s="252" t="s">
        <v>632</v>
      </c>
      <c r="D68" s="253" t="s">
        <v>631</v>
      </c>
      <c r="E68" s="252" t="s">
        <v>115</v>
      </c>
      <c r="F68" s="252" t="s">
        <v>118</v>
      </c>
      <c r="G68" s="350">
        <v>3</v>
      </c>
      <c r="H68" s="351">
        <v>3</v>
      </c>
      <c r="I68">
        <v>0</v>
      </c>
      <c r="J68">
        <v>0</v>
      </c>
      <c r="K68" s="20">
        <v>-0.89839226395609995</v>
      </c>
      <c r="L68" s="20">
        <v>-0.89999999999999947</v>
      </c>
      <c r="M68" s="20">
        <v>1.0669306146966941</v>
      </c>
      <c r="N68" s="20">
        <v>-0.23410160809244118</v>
      </c>
      <c r="O68" s="311">
        <v>4</v>
      </c>
      <c r="P68" s="20">
        <v>0.34420893079983994</v>
      </c>
      <c r="Q68" s="20">
        <v>0.34347563486819155</v>
      </c>
      <c r="R68" s="312">
        <v>2</v>
      </c>
      <c r="S68" s="20">
        <v>0.98758599626504906</v>
      </c>
      <c r="T68" s="20">
        <v>-2.0776213431282518</v>
      </c>
      <c r="U68" s="20">
        <v>1.8571428571428568</v>
      </c>
      <c r="V68" s="20">
        <v>1.3571428571428585</v>
      </c>
      <c r="W68" s="312">
        <v>-43</v>
      </c>
      <c r="X68" s="313">
        <v>-37</v>
      </c>
      <c r="Y68" s="236">
        <f>19.4671831523401-((((AVERAGE(K68:N68)+AVERAGE(Q68+AVERAGE(S68:V68))))))</f>
        <v>18.834035739954242</v>
      </c>
    </row>
    <row r="69" spans="1:25">
      <c r="A69">
        <v>25</v>
      </c>
      <c r="B69">
        <v>0</v>
      </c>
      <c r="C69" s="252" t="s">
        <v>364</v>
      </c>
      <c r="D69" s="253" t="s">
        <v>363</v>
      </c>
      <c r="E69" s="252" t="s">
        <v>115</v>
      </c>
      <c r="F69" s="252" t="s">
        <v>118</v>
      </c>
      <c r="G69" s="350">
        <v>3</v>
      </c>
      <c r="H69" s="351">
        <v>3</v>
      </c>
      <c r="I69">
        <v>0</v>
      </c>
      <c r="J69">
        <v>0</v>
      </c>
      <c r="K69" s="20">
        <v>-0.74644667852318936</v>
      </c>
      <c r="L69" s="20">
        <v>-9.2063492063491736E-2</v>
      </c>
      <c r="M69" s="20">
        <v>0.55150687838258339</v>
      </c>
      <c r="N69" s="20">
        <v>-0.1598241411020247</v>
      </c>
      <c r="O69" s="311">
        <v>-13</v>
      </c>
      <c r="P69" s="20">
        <v>0.17419443855807515</v>
      </c>
      <c r="Q69" s="20">
        <v>0.3781217958050993</v>
      </c>
      <c r="R69" s="312">
        <v>5</v>
      </c>
      <c r="S69" s="20">
        <v>0.10779260326354523</v>
      </c>
      <c r="T69" s="20">
        <v>-0.4752430534364418</v>
      </c>
      <c r="U69" s="20">
        <v>-0.55555555555555625</v>
      </c>
      <c r="V69" s="20">
        <v>0</v>
      </c>
      <c r="W69" s="312">
        <v>-7</v>
      </c>
      <c r="X69" s="313">
        <v>-15</v>
      </c>
      <c r="Y69" s="236">
        <f>17.5029055372038-((((AVERAGE(K69:N69)+AVERAGE(Q69+AVERAGE(S69:V69))))))</f>
        <v>17.467242101157346</v>
      </c>
    </row>
    <row r="70" spans="1:25">
      <c r="A70">
        <v>26</v>
      </c>
      <c r="B70">
        <v>0</v>
      </c>
      <c r="C70" s="252" t="s">
        <v>406</v>
      </c>
      <c r="D70" s="253" t="s">
        <v>405</v>
      </c>
      <c r="E70" s="252" t="s">
        <v>113</v>
      </c>
      <c r="F70" s="252" t="s">
        <v>134</v>
      </c>
      <c r="G70" s="350">
        <v>2</v>
      </c>
      <c r="H70" s="351">
        <v>3</v>
      </c>
      <c r="I70">
        <v>0</v>
      </c>
      <c r="J70">
        <v>0</v>
      </c>
      <c r="K70" s="20">
        <v>-0.28924542052818492</v>
      </c>
      <c r="L70" s="20">
        <v>-0.13499999999999979</v>
      </c>
      <c r="M70" s="20">
        <v>-4.2462377127119311E-2</v>
      </c>
      <c r="N70" s="20">
        <v>-5.525249971748103E-2</v>
      </c>
      <c r="O70" s="311">
        <v>-8</v>
      </c>
      <c r="P70" s="20">
        <v>0.26523026888936041</v>
      </c>
      <c r="Q70" s="20">
        <v>0.28156100641575144</v>
      </c>
      <c r="R70" s="312">
        <v>7</v>
      </c>
      <c r="S70" s="20">
        <v>-0.21167157081209753</v>
      </c>
      <c r="T70" s="20">
        <v>0.1040762126088044</v>
      </c>
      <c r="U70" s="20">
        <v>0</v>
      </c>
      <c r="V70" s="20">
        <v>0</v>
      </c>
      <c r="W70" s="312">
        <v>-14</v>
      </c>
      <c r="X70" s="313">
        <v>-15</v>
      </c>
      <c r="Y70" s="236">
        <f>17.063913212975-((((AVERAGE(K70:N70)+AVERAGE(Q70+AVERAGE(S70:V70))))))</f>
        <v>16.939741120453267</v>
      </c>
    </row>
    <row r="71" spans="1:25">
      <c r="A71">
        <v>27</v>
      </c>
      <c r="B71">
        <v>0</v>
      </c>
      <c r="C71" s="252" t="s">
        <v>428</v>
      </c>
      <c r="D71" s="253" t="s">
        <v>427</v>
      </c>
      <c r="E71" s="252" t="s">
        <v>115</v>
      </c>
      <c r="F71" s="252" t="s">
        <v>116</v>
      </c>
      <c r="G71" s="350">
        <v>2</v>
      </c>
      <c r="H71" s="351">
        <v>3</v>
      </c>
      <c r="I71">
        <v>0</v>
      </c>
      <c r="J71">
        <v>0</v>
      </c>
      <c r="K71" s="20">
        <v>0.37023821685091907</v>
      </c>
      <c r="L71" s="20">
        <v>5.0041050903120166E-2</v>
      </c>
      <c r="M71" s="20">
        <v>-9.5584214460296746E-2</v>
      </c>
      <c r="N71" s="20">
        <v>-5.701899059170934E-2</v>
      </c>
      <c r="O71" s="311">
        <v>-25</v>
      </c>
      <c r="P71" s="20">
        <v>0.49205340114431051</v>
      </c>
      <c r="Q71" s="20">
        <v>-9.6442572145389427E-2</v>
      </c>
      <c r="R71" s="312">
        <v>3</v>
      </c>
      <c r="S71" s="20">
        <v>-0.26831119221698296</v>
      </c>
      <c r="T71" s="20">
        <v>-0.4125391147991575</v>
      </c>
      <c r="U71" s="20">
        <v>1.6617405582922835</v>
      </c>
      <c r="V71" s="20">
        <v>1.2925170068027203</v>
      </c>
      <c r="W71" s="312">
        <v>-42</v>
      </c>
      <c r="X71" s="313">
        <v>-64</v>
      </c>
      <c r="Y71" s="236">
        <f>17.718893890478-((((AVERAGE(K71:N71)+AVERAGE(Q71+AVERAGE(S71:V71))))))</f>
        <v>17.180065632428164</v>
      </c>
    </row>
    <row r="72" spans="1:25">
      <c r="A72">
        <v>28</v>
      </c>
      <c r="B72">
        <v>0</v>
      </c>
      <c r="C72" s="252" t="s">
        <v>606</v>
      </c>
      <c r="D72" s="253" t="s">
        <v>135</v>
      </c>
      <c r="E72" s="252" t="s">
        <v>113</v>
      </c>
      <c r="F72" s="252" t="s">
        <v>134</v>
      </c>
      <c r="G72" s="350">
        <v>3</v>
      </c>
      <c r="H72" s="351">
        <v>3</v>
      </c>
      <c r="I72">
        <v>0</v>
      </c>
      <c r="J72">
        <v>0</v>
      </c>
      <c r="K72" s="20">
        <v>6.4141838295224574E-2</v>
      </c>
      <c r="L72" s="20">
        <v>-0.32023809523809454</v>
      </c>
      <c r="M72" s="20">
        <v>0.57339150817262308</v>
      </c>
      <c r="N72" s="20">
        <v>-0.49905735408347685</v>
      </c>
      <c r="O72" s="311">
        <v>-12</v>
      </c>
      <c r="P72" s="20">
        <v>0.16224892279437775</v>
      </c>
      <c r="Q72" s="20">
        <v>0.36603822748034442</v>
      </c>
      <c r="R72" s="312">
        <v>4</v>
      </c>
      <c r="S72" s="20">
        <v>0.14144668225811774</v>
      </c>
      <c r="T72" s="20">
        <v>-0.54762801950450335</v>
      </c>
      <c r="U72" s="20">
        <v>-1.4583333333333339</v>
      </c>
      <c r="V72" s="20">
        <v>-0.83333333333333393</v>
      </c>
      <c r="W72" s="312">
        <v>11</v>
      </c>
      <c r="X72" s="313">
        <v>3</v>
      </c>
      <c r="Y72" s="236">
        <f>18.9164315936749-((((AVERAGE(K72:N72)+AVERAGE(Q72+AVERAGE(S72:V72))))))</f>
        <v>19.270295892886249</v>
      </c>
    </row>
    <row r="73" spans="1:25">
      <c r="A73">
        <v>29</v>
      </c>
      <c r="B73">
        <v>0</v>
      </c>
      <c r="C73" s="252" t="s">
        <v>287</v>
      </c>
      <c r="D73" s="253" t="s">
        <v>286</v>
      </c>
      <c r="E73" s="252" t="s">
        <v>107</v>
      </c>
      <c r="F73" s="252" t="s">
        <v>121</v>
      </c>
      <c r="G73" s="350"/>
      <c r="H73" s="351">
        <v>4</v>
      </c>
      <c r="I73">
        <v>0</v>
      </c>
      <c r="J73">
        <v>0</v>
      </c>
      <c r="K73" s="20">
        <v>-1.0170346234714058</v>
      </c>
      <c r="L73" s="20">
        <v>-0.38888888888888928</v>
      </c>
      <c r="M73" s="20">
        <v>-0.72329747437005709</v>
      </c>
      <c r="N73" s="20">
        <v>-0.34715925216677146</v>
      </c>
      <c r="O73" s="311">
        <v>17</v>
      </c>
      <c r="P73" s="20">
        <v>0.32841464764192096</v>
      </c>
      <c r="Q73" s="20">
        <v>-0.15819061976520654</v>
      </c>
      <c r="R73" s="312">
        <v>10</v>
      </c>
      <c r="S73" s="20">
        <v>-1.5448340257737498</v>
      </c>
      <c r="T73" s="20">
        <v>-0.3896957451608154</v>
      </c>
      <c r="U73" s="20">
        <v>-0.52380952380952372</v>
      </c>
      <c r="V73" s="20">
        <v>0</v>
      </c>
      <c r="W73" s="312">
        <v>20</v>
      </c>
      <c r="X73" s="313">
        <v>47</v>
      </c>
      <c r="Y73" s="236">
        <f>12.7330853616718-((((AVERAGE(K73:N73)+AVERAGE(Q73+AVERAGE(S73:V73))))))</f>
        <v>14.124955864847308</v>
      </c>
    </row>
    <row r="74" spans="1:25">
      <c r="A74">
        <v>33</v>
      </c>
      <c r="B74">
        <v>0</v>
      </c>
      <c r="C74" s="252" t="s">
        <v>574</v>
      </c>
      <c r="D74" s="253" t="s">
        <v>573</v>
      </c>
      <c r="E74" s="252" t="s">
        <v>111</v>
      </c>
      <c r="F74" s="252" t="s">
        <v>110</v>
      </c>
      <c r="G74" s="350">
        <v>1</v>
      </c>
      <c r="H74" s="351">
        <v>2</v>
      </c>
      <c r="I74">
        <v>0</v>
      </c>
      <c r="J74">
        <v>0</v>
      </c>
      <c r="K74" s="305">
        <v>1.6269075297447317</v>
      </c>
      <c r="L74" s="305">
        <v>-0.39523809523809561</v>
      </c>
      <c r="M74" s="305">
        <v>0.76932050335608437</v>
      </c>
      <c r="N74" s="305">
        <v>-0.26647587866277433</v>
      </c>
      <c r="O74" s="311">
        <v>-19</v>
      </c>
      <c r="P74" s="305">
        <v>0.37628045607591076</v>
      </c>
      <c r="Q74" s="305">
        <v>0.16891369370602405</v>
      </c>
      <c r="R74" s="312">
        <v>1</v>
      </c>
      <c r="S74" s="305">
        <v>-0.48668379891769353</v>
      </c>
      <c r="T74" s="305">
        <v>-1.7456568464646347</v>
      </c>
      <c r="U74" s="305">
        <v>-1.0238095238095237</v>
      </c>
      <c r="V74" s="305">
        <v>0</v>
      </c>
      <c r="W74" s="312">
        <v>19</v>
      </c>
      <c r="X74" s="313">
        <v>1</v>
      </c>
      <c r="Y74" s="236">
        <f>21.3120118165923-((((AVERAGE(K74:N74)+AVERAGE(Q74+AVERAGE(S74:V74))))))</f>
        <v>21.523507150384251</v>
      </c>
    </row>
    <row r="75" spans="1:25">
      <c r="A75">
        <v>34</v>
      </c>
      <c r="B75">
        <v>0</v>
      </c>
      <c r="C75" s="252" t="s">
        <v>422</v>
      </c>
      <c r="D75" s="253" t="s">
        <v>421</v>
      </c>
      <c r="E75" s="252" t="s">
        <v>107</v>
      </c>
      <c r="F75" s="252" t="s">
        <v>121</v>
      </c>
      <c r="G75" s="350">
        <v>4</v>
      </c>
      <c r="H75" s="351">
        <v>3</v>
      </c>
      <c r="I75">
        <v>0</v>
      </c>
      <c r="J75">
        <v>0</v>
      </c>
      <c r="K75" s="305">
        <v>-3.2284301689385</v>
      </c>
      <c r="L75" s="305">
        <v>-0.30730158730158674</v>
      </c>
      <c r="M75" s="305">
        <v>-0.45690800602093962</v>
      </c>
      <c r="N75" s="305">
        <v>-0.52093761453313103</v>
      </c>
      <c r="O75" s="311">
        <v>57</v>
      </c>
      <c r="P75" s="305">
        <v>0.46105742742106415</v>
      </c>
      <c r="Q75" s="305">
        <v>4.8187814599931045E-2</v>
      </c>
      <c r="R75" s="312">
        <v>16</v>
      </c>
      <c r="S75" s="305">
        <v>-0.46782116807487517</v>
      </c>
      <c r="T75" s="305">
        <v>-0.5735740116806296</v>
      </c>
      <c r="U75" s="305">
        <v>-0.73809523809523814</v>
      </c>
      <c r="V75" s="305">
        <v>0</v>
      </c>
      <c r="W75" s="312">
        <v>2</v>
      </c>
      <c r="X75" s="313">
        <v>75</v>
      </c>
      <c r="Y75" s="236">
        <f>16.5483750290335-((((AVERAGE(K75:N75)+AVERAGE(Q75+AVERAGE(S75:V75))))))</f>
        <v>18.073454163094794</v>
      </c>
    </row>
    <row r="76" spans="1:25">
      <c r="A76">
        <v>36</v>
      </c>
      <c r="B76">
        <v>0</v>
      </c>
      <c r="C76" s="252" t="s">
        <v>642</v>
      </c>
      <c r="D76" s="253" t="s">
        <v>641</v>
      </c>
      <c r="E76" s="252" t="s">
        <v>119</v>
      </c>
      <c r="F76" s="252" t="s">
        <v>136</v>
      </c>
      <c r="G76" s="350">
        <v>3</v>
      </c>
      <c r="H76" s="351">
        <v>3</v>
      </c>
      <c r="I76">
        <v>0</v>
      </c>
      <c r="J76">
        <v>0</v>
      </c>
      <c r="K76" s="20">
        <v>-0.34548653237198401</v>
      </c>
      <c r="L76" s="20">
        <v>-0.56349206349206327</v>
      </c>
      <c r="M76" s="20">
        <v>-0.73464172567705033</v>
      </c>
      <c r="N76" s="20">
        <v>-0.41385995510226614</v>
      </c>
      <c r="O76" s="311">
        <v>14</v>
      </c>
      <c r="P76" s="20">
        <v>0.28865740152103747</v>
      </c>
      <c r="Q76" s="20">
        <v>0.20481214564334582</v>
      </c>
      <c r="R76" s="312">
        <v>5</v>
      </c>
      <c r="S76" s="20">
        <v>-2.7323673681865612</v>
      </c>
      <c r="T76" s="20">
        <v>-0.68572815310111501</v>
      </c>
      <c r="U76" s="20">
        <v>-0.81972789115646183</v>
      </c>
      <c r="V76" s="20">
        <v>3.9285714285714297</v>
      </c>
      <c r="W76" s="312">
        <v>-8</v>
      </c>
      <c r="X76" s="313">
        <v>11</v>
      </c>
      <c r="Y76" s="236">
        <f>18.0365852600347-((((AVERAGE(K76:N76)+AVERAGE(Q76+AVERAGE(S76:V76))))))</f>
        <v>18.423456179520372</v>
      </c>
    </row>
    <row r="77" spans="1:25">
      <c r="A77">
        <v>38</v>
      </c>
      <c r="B77">
        <v>0</v>
      </c>
      <c r="C77" s="252" t="s">
        <v>454</v>
      </c>
      <c r="D77" s="253" t="s">
        <v>137</v>
      </c>
      <c r="E77" s="252" t="s">
        <v>119</v>
      </c>
      <c r="F77" s="252" t="s">
        <v>136</v>
      </c>
      <c r="G77" s="350">
        <v>3</v>
      </c>
      <c r="H77" s="351">
        <v>3</v>
      </c>
      <c r="I77">
        <v>0</v>
      </c>
      <c r="J77">
        <v>0</v>
      </c>
      <c r="K77" s="20">
        <v>-5.020048170142033E-2</v>
      </c>
      <c r="L77" s="20">
        <v>0</v>
      </c>
      <c r="M77" s="20">
        <v>-1.0248163214377621</v>
      </c>
      <c r="N77" s="20">
        <v>-0.24100141403287978</v>
      </c>
      <c r="O77" s="311">
        <v>7</v>
      </c>
      <c r="P77" s="20">
        <v>0.18755554966918631</v>
      </c>
      <c r="Q77" s="20">
        <v>0</v>
      </c>
      <c r="R77" s="312">
        <v>3</v>
      </c>
      <c r="S77" s="20">
        <v>-0.22593077032459785</v>
      </c>
      <c r="T77" s="20">
        <v>-1.4646713967777014</v>
      </c>
      <c r="U77" s="20">
        <v>0</v>
      </c>
      <c r="V77" s="20">
        <v>0</v>
      </c>
      <c r="W77" s="312">
        <v>4</v>
      </c>
      <c r="X77" s="313">
        <v>14</v>
      </c>
      <c r="Y77" s="236">
        <f>10.9064588644252-((((AVERAGE(K77:N77)+AVERAGE(Q77+AVERAGE(S77:V77))))))</f>
        <v>11.658113960493791</v>
      </c>
    </row>
    <row r="78" spans="1:25">
      <c r="A78">
        <v>39</v>
      </c>
      <c r="B78">
        <v>0</v>
      </c>
      <c r="C78" s="252" t="s">
        <v>390</v>
      </c>
      <c r="D78" s="253" t="s">
        <v>389</v>
      </c>
      <c r="E78" s="252" t="s">
        <v>107</v>
      </c>
      <c r="F78" s="252" t="s">
        <v>126</v>
      </c>
      <c r="G78" s="350">
        <v>3</v>
      </c>
      <c r="H78" s="351">
        <v>3</v>
      </c>
      <c r="I78">
        <v>0</v>
      </c>
      <c r="J78">
        <v>0</v>
      </c>
      <c r="K78" s="20">
        <v>-2.3517552572662632</v>
      </c>
      <c r="L78" s="20">
        <v>-1.0428571428571427</v>
      </c>
      <c r="M78" s="20">
        <v>-1.0476302716448256</v>
      </c>
      <c r="N78" s="20">
        <v>-0.14857125891284984</v>
      </c>
      <c r="O78" s="311">
        <v>64</v>
      </c>
      <c r="P78" s="20">
        <v>0.38237962374325996</v>
      </c>
      <c r="Q78" s="20">
        <v>0.28697532516124813</v>
      </c>
      <c r="R78" s="312">
        <v>-1</v>
      </c>
      <c r="S78" s="20">
        <v>-1.9789916852514888</v>
      </c>
      <c r="T78" s="20">
        <v>-0.75346100600470844</v>
      </c>
      <c r="U78" s="20">
        <v>-1.7619047619047619</v>
      </c>
      <c r="V78" s="20">
        <v>0</v>
      </c>
      <c r="W78" s="312">
        <v>46</v>
      </c>
      <c r="X78" s="313">
        <v>109</v>
      </c>
      <c r="Y78" s="236">
        <f>16.1757808442338-((((AVERAGE(K78:N78)+AVERAGE(Q78+AVERAGE(S78:V78))))))</f>
        <v>18.160098365033061</v>
      </c>
    </row>
    <row r="79" spans="1:25">
      <c r="A79">
        <v>41</v>
      </c>
      <c r="B79">
        <v>0</v>
      </c>
      <c r="C79" s="252" t="s">
        <v>628</v>
      </c>
      <c r="D79" s="253" t="s">
        <v>627</v>
      </c>
      <c r="E79" s="252" t="s">
        <v>109</v>
      </c>
      <c r="F79" s="252" t="s">
        <v>117</v>
      </c>
      <c r="G79" s="350">
        <v>2</v>
      </c>
      <c r="H79" s="351">
        <v>3</v>
      </c>
      <c r="I79">
        <v>0</v>
      </c>
      <c r="J79">
        <v>0</v>
      </c>
      <c r="K79" s="305">
        <v>1.1353848558559072</v>
      </c>
      <c r="L79" s="305">
        <v>-0.41547619047619122</v>
      </c>
      <c r="M79" s="305">
        <v>1.0095794541164667</v>
      </c>
      <c r="N79" s="305">
        <v>-0.29264193923997084</v>
      </c>
      <c r="O79" s="311">
        <v>-45</v>
      </c>
      <c r="P79" s="305">
        <v>0.39999999411362985</v>
      </c>
      <c r="Q79" s="305">
        <v>0.37833682877206964</v>
      </c>
      <c r="R79" s="312">
        <v>-7</v>
      </c>
      <c r="S79" s="305">
        <v>-0.23486189758041087</v>
      </c>
      <c r="T79" s="305">
        <v>-0.38999891691900768</v>
      </c>
      <c r="U79" s="305">
        <v>-0.6904761904761898</v>
      </c>
      <c r="V79" s="305">
        <v>-1.7857142857142847</v>
      </c>
      <c r="W79" s="312">
        <v>30</v>
      </c>
      <c r="X79" s="313">
        <v>-22</v>
      </c>
      <c r="Y79" s="236">
        <f>19.0671781978785-((((AVERAGE(K79:N79)+AVERAGE(Q79+AVERAGE(S79:V79))))))</f>
        <v>19.104892646714852</v>
      </c>
    </row>
    <row r="80" spans="1:25">
      <c r="A80">
        <v>42</v>
      </c>
      <c r="B80">
        <v>0</v>
      </c>
      <c r="C80" s="252" t="s">
        <v>436</v>
      </c>
      <c r="D80" s="253" t="s">
        <v>435</v>
      </c>
      <c r="E80" s="252" t="s">
        <v>107</v>
      </c>
      <c r="F80" s="252" t="s">
        <v>122</v>
      </c>
      <c r="G80" s="350">
        <v>4</v>
      </c>
      <c r="H80" s="351">
        <v>3</v>
      </c>
      <c r="I80">
        <v>0</v>
      </c>
      <c r="J80">
        <v>0</v>
      </c>
      <c r="K80" s="305">
        <v>-1.6730232620923866</v>
      </c>
      <c r="L80" s="305">
        <v>-0.49523809523809526</v>
      </c>
      <c r="M80" s="305">
        <v>-0.62646854984554579</v>
      </c>
      <c r="N80" s="305">
        <v>-0.40501088550252629</v>
      </c>
      <c r="O80" s="311">
        <v>43</v>
      </c>
      <c r="P80" s="305">
        <v>0.56872731393185916</v>
      </c>
      <c r="Q80" s="305">
        <v>0.48563606831682105</v>
      </c>
      <c r="R80" s="312">
        <v>-21</v>
      </c>
      <c r="S80" s="305">
        <v>-0.86921942345930336</v>
      </c>
      <c r="T80" s="305">
        <v>-0.58661618463546983</v>
      </c>
      <c r="U80" s="305">
        <v>-1.2142857142857153</v>
      </c>
      <c r="V80" s="305">
        <v>0</v>
      </c>
      <c r="W80" s="312">
        <v>24</v>
      </c>
      <c r="X80" s="313">
        <v>46</v>
      </c>
      <c r="Y80" s="236">
        <f>17.3234135006633-((((AVERAGE(K80:N80)+AVERAGE(Q80+AVERAGE(S80:V80))))))</f>
        <v>18.30524296111124</v>
      </c>
    </row>
    <row r="81" spans="1:25">
      <c r="A81">
        <v>44</v>
      </c>
      <c r="B81">
        <v>0</v>
      </c>
      <c r="C81" s="252" t="s">
        <v>275</v>
      </c>
      <c r="D81" s="253" t="s">
        <v>274</v>
      </c>
      <c r="E81" s="252" t="s">
        <v>107</v>
      </c>
      <c r="F81" s="252" t="s">
        <v>122</v>
      </c>
      <c r="G81" s="350">
        <v>4</v>
      </c>
      <c r="H81" s="351">
        <v>3</v>
      </c>
      <c r="I81">
        <v>0</v>
      </c>
      <c r="J81">
        <v>0</v>
      </c>
      <c r="K81" s="305">
        <v>-0.63880036310979271</v>
      </c>
      <c r="L81" s="305">
        <v>-0.19714285714285706</v>
      </c>
      <c r="M81" s="305">
        <v>-0.46635189555435819</v>
      </c>
      <c r="N81" s="305">
        <v>-0.34257588546380635</v>
      </c>
      <c r="O81" s="311">
        <v>7</v>
      </c>
      <c r="P81" s="305">
        <v>0.36360774999411305</v>
      </c>
      <c r="Q81" s="305">
        <v>0.30817318852706954</v>
      </c>
      <c r="R81" s="312">
        <v>5</v>
      </c>
      <c r="S81" s="305">
        <v>-0.56261390622402807</v>
      </c>
      <c r="T81" s="305">
        <v>0.28783741051571798</v>
      </c>
      <c r="U81" s="305">
        <v>0</v>
      </c>
      <c r="V81" s="305">
        <v>0</v>
      </c>
      <c r="W81" s="312">
        <v>6</v>
      </c>
      <c r="X81" s="313">
        <v>18</v>
      </c>
      <c r="Y81" s="236">
        <f>14.2341701034845-((((AVERAGE(K81:N81)+AVERAGE(Q81+AVERAGE(S81:V81))))))</f>
        <v>14.405908789202211</v>
      </c>
    </row>
    <row r="82" spans="1:25">
      <c r="A82">
        <v>46</v>
      </c>
      <c r="B82">
        <v>0</v>
      </c>
      <c r="C82" s="252" t="s">
        <v>245</v>
      </c>
      <c r="D82" s="253" t="s">
        <v>138</v>
      </c>
      <c r="E82" s="252" t="s">
        <v>107</v>
      </c>
      <c r="F82" s="252" t="s">
        <v>122</v>
      </c>
      <c r="G82" s="350">
        <v>4</v>
      </c>
      <c r="H82" s="351">
        <v>3</v>
      </c>
      <c r="I82">
        <v>0</v>
      </c>
      <c r="J82">
        <v>0</v>
      </c>
      <c r="K82" s="305">
        <v>-0.93203783714189292</v>
      </c>
      <c r="L82" s="305">
        <v>0.65000000000000036</v>
      </c>
      <c r="M82" s="305">
        <v>-0.5129227371866063</v>
      </c>
      <c r="N82" s="305">
        <v>-7.7995178371519813E-2</v>
      </c>
      <c r="O82" s="311">
        <v>-1</v>
      </c>
      <c r="P82" s="305">
        <v>0.36546564126109615</v>
      </c>
      <c r="Q82" s="305">
        <v>0.18023616392957198</v>
      </c>
      <c r="R82" s="312">
        <v>1</v>
      </c>
      <c r="S82" s="305">
        <v>-0.86430472550913784</v>
      </c>
      <c r="T82" s="305">
        <v>7.3509540107601801E-2</v>
      </c>
      <c r="U82" s="305">
        <v>0</v>
      </c>
      <c r="V82" s="305">
        <v>0</v>
      </c>
      <c r="W82" s="312">
        <v>-3</v>
      </c>
      <c r="X82" s="313">
        <v>-3</v>
      </c>
      <c r="Y82" s="236">
        <f>15.3870725254511-((((AVERAGE(K82:N82)+AVERAGE(Q82+AVERAGE(S82:V82))))))</f>
        <v>15.622774096046916</v>
      </c>
    </row>
    <row r="83" spans="1:25">
      <c r="A83">
        <v>47</v>
      </c>
      <c r="B83">
        <v>0</v>
      </c>
      <c r="C83" s="252" t="s">
        <v>311</v>
      </c>
      <c r="D83" s="253" t="s">
        <v>310</v>
      </c>
      <c r="E83" s="252" t="s">
        <v>107</v>
      </c>
      <c r="F83" s="252" t="s">
        <v>122</v>
      </c>
      <c r="G83" s="350">
        <v>4</v>
      </c>
      <c r="H83" s="351">
        <v>4</v>
      </c>
      <c r="I83">
        <v>0</v>
      </c>
      <c r="J83">
        <v>0</v>
      </c>
      <c r="K83" s="305">
        <v>0.162353736763162</v>
      </c>
      <c r="L83" s="305">
        <v>0.45714285714285641</v>
      </c>
      <c r="M83" s="305">
        <v>-0.53093488770910091</v>
      </c>
      <c r="N83" s="305">
        <v>-0.19554125685447588</v>
      </c>
      <c r="O83" s="311">
        <v>-8</v>
      </c>
      <c r="P83" s="305">
        <v>0.40069108332744641</v>
      </c>
      <c r="Q83" s="305">
        <v>1.1303521482933121E-2</v>
      </c>
      <c r="R83" s="312">
        <v>4</v>
      </c>
      <c r="S83" s="305">
        <v>-1.6347635870293187</v>
      </c>
      <c r="T83" s="305">
        <v>0.74011283809723238</v>
      </c>
      <c r="U83" s="305">
        <v>0</v>
      </c>
      <c r="V83" s="305">
        <v>0</v>
      </c>
      <c r="W83" s="312">
        <v>8</v>
      </c>
      <c r="X83" s="313">
        <v>4</v>
      </c>
      <c r="Y83" s="236">
        <f>12.7777276389416-((((AVERAGE(K83:N83)+AVERAGE(Q83+AVERAGE(S83:V83))))))</f>
        <v>13.016831692356078</v>
      </c>
    </row>
    <row r="84" spans="1:25">
      <c r="A84">
        <v>49</v>
      </c>
      <c r="B84">
        <v>0</v>
      </c>
      <c r="C84" s="252" t="s">
        <v>283</v>
      </c>
      <c r="D84" s="253" t="s">
        <v>282</v>
      </c>
      <c r="E84" s="252" t="s">
        <v>107</v>
      </c>
      <c r="F84" s="252" t="s">
        <v>126</v>
      </c>
      <c r="G84" s="350">
        <v>3</v>
      </c>
      <c r="H84" s="351">
        <v>2</v>
      </c>
      <c r="I84">
        <v>0</v>
      </c>
      <c r="J84">
        <v>0</v>
      </c>
      <c r="K84" s="20">
        <v>-1.5337558428704128</v>
      </c>
      <c r="L84" s="20">
        <v>0.10000000000000009</v>
      </c>
      <c r="M84" s="20">
        <v>-0.96900119412905172</v>
      </c>
      <c r="N84" s="20">
        <v>1.4482124765494508</v>
      </c>
      <c r="O84" s="311">
        <v>5</v>
      </c>
      <c r="P84" s="20">
        <v>0.44551247321701926</v>
      </c>
      <c r="Q84" s="20">
        <v>-5.4373293864046879E-2</v>
      </c>
      <c r="R84" s="312">
        <v>12</v>
      </c>
      <c r="S84" s="20">
        <v>-1.1674887607179878</v>
      </c>
      <c r="T84" s="20">
        <v>3.0444219059370514</v>
      </c>
      <c r="U84" s="20">
        <v>0</v>
      </c>
      <c r="V84" s="20">
        <v>0</v>
      </c>
      <c r="W84" s="312">
        <v>-4</v>
      </c>
      <c r="X84" s="313">
        <v>13</v>
      </c>
      <c r="Y84" s="236">
        <f>13.8130338837254-((((AVERAGE(K84:N84)+AVERAGE(Q84+AVERAGE(S84:V84))))))</f>
        <v>13.636810031397184</v>
      </c>
    </row>
    <row r="85" spans="1:25">
      <c r="A85">
        <v>51</v>
      </c>
      <c r="B85">
        <v>0</v>
      </c>
      <c r="C85" s="252" t="s">
        <v>277</v>
      </c>
      <c r="D85" s="253" t="s">
        <v>276</v>
      </c>
      <c r="E85" s="252" t="s">
        <v>115</v>
      </c>
      <c r="F85" s="252" t="s">
        <v>118</v>
      </c>
      <c r="G85" s="350">
        <v>3</v>
      </c>
      <c r="H85" s="351">
        <v>3</v>
      </c>
      <c r="I85">
        <v>0</v>
      </c>
      <c r="J85">
        <v>0</v>
      </c>
      <c r="K85" s="20">
        <v>-1.4408737048309792</v>
      </c>
      <c r="L85" s="20">
        <v>5.5555555555555358E-2</v>
      </c>
      <c r="M85" s="20">
        <v>0.58093191185082871</v>
      </c>
      <c r="N85" s="20">
        <v>1.3879528353495703</v>
      </c>
      <c r="O85" s="311">
        <v>-21</v>
      </c>
      <c r="P85" s="20">
        <v>0.32786110522474132</v>
      </c>
      <c r="Q85" s="20">
        <v>0</v>
      </c>
      <c r="R85" s="312">
        <v>1</v>
      </c>
      <c r="S85" s="20">
        <v>0.65635033986602598</v>
      </c>
      <c r="T85" s="20">
        <v>-0.42876093457549302</v>
      </c>
      <c r="U85" s="20">
        <v>-0.23809523809523814</v>
      </c>
      <c r="V85" s="20">
        <v>0</v>
      </c>
      <c r="W85" s="312">
        <v>-13</v>
      </c>
      <c r="X85" s="313">
        <v>-33</v>
      </c>
      <c r="Y85" s="236">
        <f>9.88189162052319-((((AVERAGE(K85:N85)+AVERAGE(Q85+AVERAGE(S85:V85))))))</f>
        <v>9.7386264292431228</v>
      </c>
    </row>
    <row r="86" spans="1:25">
      <c r="A86">
        <v>52</v>
      </c>
      <c r="B86">
        <v>0</v>
      </c>
      <c r="C86" s="252" t="s">
        <v>442</v>
      </c>
      <c r="D86" s="253" t="s">
        <v>441</v>
      </c>
      <c r="E86" s="252" t="s">
        <v>115</v>
      </c>
      <c r="F86" s="252" t="s">
        <v>124</v>
      </c>
      <c r="G86" s="350">
        <v>3</v>
      </c>
      <c r="H86" s="351">
        <v>3</v>
      </c>
      <c r="I86">
        <v>0</v>
      </c>
      <c r="J86">
        <v>0</v>
      </c>
      <c r="K86" s="20">
        <v>0.27449195721922948</v>
      </c>
      <c r="L86" s="20">
        <v>-0.40970695970695914</v>
      </c>
      <c r="M86" s="20">
        <v>-0.19888441611213747</v>
      </c>
      <c r="N86" s="20">
        <v>-0.35541156492200798</v>
      </c>
      <c r="O86" s="311">
        <v>-3</v>
      </c>
      <c r="P86" s="20">
        <v>0.5532875668102939</v>
      </c>
      <c r="Q86" s="20">
        <v>6.3763066202090597</v>
      </c>
      <c r="R86" s="312">
        <v>-82</v>
      </c>
      <c r="S86" s="20">
        <v>-0.24309390842382195</v>
      </c>
      <c r="T86" s="20">
        <v>-0.49758602945147778</v>
      </c>
      <c r="U86" s="20">
        <v>1.2930402930402924</v>
      </c>
      <c r="V86" s="20">
        <v>0.5357142857142847</v>
      </c>
      <c r="W86" s="312">
        <v>-25</v>
      </c>
      <c r="X86" s="313">
        <v>-110</v>
      </c>
      <c r="Y86" s="236">
        <f>18.0568270382558-((((AVERAGE(K86:N86)+AVERAGE(Q86+AVERAGE(S86:V86))))))</f>
        <v>11.58087950370739</v>
      </c>
    </row>
    <row r="87" spans="1:25">
      <c r="A87">
        <v>53</v>
      </c>
      <c r="B87">
        <v>0</v>
      </c>
      <c r="C87" s="252" t="s">
        <v>484</v>
      </c>
      <c r="D87" s="253" t="s">
        <v>483</v>
      </c>
      <c r="E87" s="252" t="s">
        <v>115</v>
      </c>
      <c r="F87" s="252" t="s">
        <v>116</v>
      </c>
      <c r="G87" s="350">
        <v>3</v>
      </c>
      <c r="H87" s="351">
        <v>3</v>
      </c>
      <c r="I87">
        <v>0</v>
      </c>
      <c r="J87">
        <v>0</v>
      </c>
      <c r="K87" s="20">
        <v>-0.67599000513397378</v>
      </c>
      <c r="L87" s="20">
        <v>-0.32301587301587276</v>
      </c>
      <c r="M87" s="20">
        <v>-1.0299244843302109</v>
      </c>
      <c r="N87" s="20">
        <v>-0.33446862538893907</v>
      </c>
      <c r="O87" s="311">
        <v>27</v>
      </c>
      <c r="P87" s="20">
        <v>0.43326851263215005</v>
      </c>
      <c r="Q87" s="20">
        <v>0.21711118416889175</v>
      </c>
      <c r="R87" s="312">
        <v>8</v>
      </c>
      <c r="S87" s="20">
        <v>-0.98189142649986128</v>
      </c>
      <c r="T87" s="20">
        <v>-0.43231121269185646</v>
      </c>
      <c r="U87" s="20">
        <v>0.96825396825396881</v>
      </c>
      <c r="V87" s="20">
        <v>0.21428571428571352</v>
      </c>
      <c r="W87" s="312">
        <v>-9</v>
      </c>
      <c r="X87" s="313">
        <v>26</v>
      </c>
      <c r="Y87" s="236">
        <f>15.5507820025208-((((AVERAGE(K87:N87)+AVERAGE(Q87+AVERAGE(S87:V87))))))</f>
        <v>15.982436304482166</v>
      </c>
    </row>
    <row r="88" spans="1:25">
      <c r="A88">
        <v>55</v>
      </c>
      <c r="B88">
        <v>0</v>
      </c>
      <c r="C88" s="252" t="s">
        <v>470</v>
      </c>
      <c r="D88" s="253" t="s">
        <v>469</v>
      </c>
      <c r="E88" s="252" t="s">
        <v>115</v>
      </c>
      <c r="F88" s="252" t="s">
        <v>124</v>
      </c>
      <c r="G88" s="350">
        <v>3</v>
      </c>
      <c r="H88" s="351">
        <v>3</v>
      </c>
      <c r="I88">
        <v>0</v>
      </c>
      <c r="J88">
        <v>0</v>
      </c>
      <c r="K88" s="310">
        <v>-0.99415165385269599</v>
      </c>
      <c r="L88" s="310">
        <v>-1.0861111111111112</v>
      </c>
      <c r="M88" s="310">
        <v>-0.43879724195750835</v>
      </c>
      <c r="N88" s="310">
        <v>-0.25938908340140632</v>
      </c>
      <c r="O88" s="311">
        <v>34</v>
      </c>
      <c r="P88" s="310">
        <v>0.19864585835040316</v>
      </c>
      <c r="Q88" s="310">
        <v>0.2252757673471546</v>
      </c>
      <c r="R88" s="312">
        <v>9</v>
      </c>
      <c r="S88" s="310">
        <v>-0.49940193588780168</v>
      </c>
      <c r="T88" s="310">
        <v>-0.11403735877860921</v>
      </c>
      <c r="U88" s="310">
        <v>0.80158730158730096</v>
      </c>
      <c r="V88" s="310">
        <v>2.7551020408163263</v>
      </c>
      <c r="W88" s="312">
        <v>-38</v>
      </c>
      <c r="X88" s="313">
        <v>5</v>
      </c>
      <c r="Y88" s="236">
        <f>16.6144440960941-((((AVERAGE(K88:N88)+AVERAGE(Q88+AVERAGE(S88:V88))))))</f>
        <v>16.347968089393323</v>
      </c>
    </row>
    <row r="89" spans="1:25">
      <c r="A89">
        <v>56</v>
      </c>
      <c r="B89">
        <v>0</v>
      </c>
      <c r="C89" s="252" t="s">
        <v>598</v>
      </c>
      <c r="D89" s="253" t="s">
        <v>597</v>
      </c>
      <c r="E89" s="252" t="s">
        <v>109</v>
      </c>
      <c r="F89" s="252" t="s">
        <v>110</v>
      </c>
      <c r="G89" s="350">
        <v>2</v>
      </c>
      <c r="H89" s="351">
        <v>2</v>
      </c>
      <c r="I89">
        <v>0</v>
      </c>
      <c r="J89">
        <v>0</v>
      </c>
      <c r="K89" s="305">
        <v>-0.39365698508024138</v>
      </c>
      <c r="L89" s="305">
        <v>-0.60793650793650844</v>
      </c>
      <c r="M89" s="305">
        <v>0.570612601355732</v>
      </c>
      <c r="N89" s="305">
        <v>-0.358637434443553</v>
      </c>
      <c r="O89" s="311">
        <v>1</v>
      </c>
      <c r="P89" s="305">
        <v>0.34417659108568177</v>
      </c>
      <c r="Q89" s="305">
        <v>0.6731815286395566</v>
      </c>
      <c r="R89" s="312">
        <v>-15</v>
      </c>
      <c r="S89" s="305">
        <v>-0.53265114331876395</v>
      </c>
      <c r="T89" s="305">
        <v>-0.46578935903179541</v>
      </c>
      <c r="U89" s="305">
        <v>-1.0158730158730158</v>
      </c>
      <c r="V89" s="305">
        <v>-0.11904761904761862</v>
      </c>
      <c r="W89" s="312">
        <v>6</v>
      </c>
      <c r="X89" s="313">
        <v>-8</v>
      </c>
      <c r="Y89" s="236">
        <f>19.8027882218227-((((AVERAGE(K89:N89)+AVERAGE(Q89+AVERAGE(S89:V89))))))</f>
        <v>19.860351559027084</v>
      </c>
    </row>
    <row r="90" spans="1:25">
      <c r="A90">
        <v>58</v>
      </c>
      <c r="B90">
        <v>0</v>
      </c>
      <c r="C90" s="252" t="s">
        <v>300</v>
      </c>
      <c r="D90" s="253" t="s">
        <v>299</v>
      </c>
      <c r="E90" s="252" t="s">
        <v>115</v>
      </c>
      <c r="F90" s="252" t="s">
        <v>118</v>
      </c>
      <c r="G90" s="350">
        <v>4</v>
      </c>
      <c r="H90" s="351">
        <v>3</v>
      </c>
      <c r="I90">
        <v>0</v>
      </c>
      <c r="J90">
        <v>0</v>
      </c>
      <c r="K90" s="305">
        <v>-0.88972756876337478</v>
      </c>
      <c r="L90" s="305">
        <v>3.6190476190476106E-2</v>
      </c>
      <c r="M90" s="305">
        <v>6.9524072157879147E-2</v>
      </c>
      <c r="N90" s="305">
        <v>-0.64493579541732338</v>
      </c>
      <c r="O90" s="311">
        <v>7</v>
      </c>
      <c r="P90" s="305">
        <v>0.64387492642038069</v>
      </c>
      <c r="Q90" s="305">
        <v>0.25906697830683889</v>
      </c>
      <c r="R90" s="312">
        <v>-11</v>
      </c>
      <c r="S90" s="305">
        <v>-3.8079480848291603E-2</v>
      </c>
      <c r="T90" s="305">
        <v>-0.13536772033434552</v>
      </c>
      <c r="U90" s="305">
        <v>-0.97619047619047583</v>
      </c>
      <c r="V90" s="305">
        <v>0</v>
      </c>
      <c r="W90" s="312">
        <v>3</v>
      </c>
      <c r="X90" s="313">
        <v>-1</v>
      </c>
      <c r="Y90" s="236">
        <f>14.1373219377695-((((AVERAGE(K90:N90)+AVERAGE(Q90+AVERAGE(S90:V90))))))</f>
        <v>14.522901582764025</v>
      </c>
    </row>
    <row r="91" spans="1:25">
      <c r="A91">
        <v>60</v>
      </c>
      <c r="B91">
        <v>0</v>
      </c>
      <c r="C91" s="252" t="s">
        <v>582</v>
      </c>
      <c r="D91" s="253" t="s">
        <v>581</v>
      </c>
      <c r="E91" s="252" t="s">
        <v>111</v>
      </c>
      <c r="F91" s="252" t="s">
        <v>110</v>
      </c>
      <c r="G91" s="350">
        <v>1</v>
      </c>
      <c r="H91" s="351">
        <v>2</v>
      </c>
      <c r="I91">
        <v>1</v>
      </c>
      <c r="J91">
        <v>0</v>
      </c>
      <c r="K91" s="305">
        <v>-0.57192193199132912</v>
      </c>
      <c r="L91" s="305">
        <v>-0.81111111111111001</v>
      </c>
      <c r="M91" s="305">
        <v>0.53613345135663248</v>
      </c>
      <c r="N91" s="305">
        <v>-0.16166917138845527</v>
      </c>
      <c r="O91" s="311">
        <v>6</v>
      </c>
      <c r="P91" s="305">
        <v>0.3419491358809541</v>
      </c>
      <c r="Q91" s="305">
        <v>0.22545646718278167</v>
      </c>
      <c r="R91" s="312">
        <v>1</v>
      </c>
      <c r="S91" s="305">
        <v>-0.92424971447020843</v>
      </c>
      <c r="T91" s="305">
        <v>-0.27897633789459597</v>
      </c>
      <c r="U91" s="305">
        <v>-1.5873015873014928E-2</v>
      </c>
      <c r="V91" s="305">
        <v>0.89285714285714324</v>
      </c>
      <c r="W91" s="312">
        <v>-10</v>
      </c>
      <c r="X91" s="313">
        <v>-3</v>
      </c>
      <c r="Y91" s="236">
        <f>19.9467852534968-((((AVERAGE(K91:N91)+AVERAGE(Q91+AVERAGE(S91:V91))))))</f>
        <v>20.055031458442752</v>
      </c>
    </row>
    <row r="92" spans="1:25">
      <c r="A92">
        <v>61</v>
      </c>
      <c r="B92">
        <v>0</v>
      </c>
      <c r="C92" s="252" t="s">
        <v>474</v>
      </c>
      <c r="D92" s="253" t="s">
        <v>473</v>
      </c>
      <c r="E92" s="252" t="s">
        <v>119</v>
      </c>
      <c r="F92" s="252" t="s">
        <v>125</v>
      </c>
      <c r="G92" s="350">
        <v>3</v>
      </c>
      <c r="H92" s="351">
        <v>3</v>
      </c>
      <c r="I92">
        <v>0</v>
      </c>
      <c r="J92">
        <v>0</v>
      </c>
      <c r="K92" s="20">
        <v>-0.73330816748369898</v>
      </c>
      <c r="L92" s="20">
        <v>-0.17655677655677771</v>
      </c>
      <c r="M92" s="20">
        <v>-0.15900279958215968</v>
      </c>
      <c r="N92" s="20">
        <v>-0.30127831618699474</v>
      </c>
      <c r="O92" s="311">
        <v>12</v>
      </c>
      <c r="P92" s="20">
        <v>0.42251435096889667</v>
      </c>
      <c r="Q92" s="20">
        <v>0.45787001828207874</v>
      </c>
      <c r="R92" s="312">
        <v>4</v>
      </c>
      <c r="S92" s="20">
        <v>-0.59788160648644695</v>
      </c>
      <c r="T92" s="20">
        <v>-0.85555813518477564</v>
      </c>
      <c r="U92" s="20">
        <v>-0.68864468864468975</v>
      </c>
      <c r="V92" s="20">
        <v>-0.6547619047619051</v>
      </c>
      <c r="W92" s="312">
        <v>14</v>
      </c>
      <c r="X92" s="313">
        <v>30</v>
      </c>
      <c r="Y92" s="236">
        <f>17.7369644331752-((((AVERAGE(K92:N92)+AVERAGE(Q92+AVERAGE(S92:V92))))))</f>
        <v>18.320842513614984</v>
      </c>
    </row>
    <row r="93" spans="1:25">
      <c r="A93">
        <v>63</v>
      </c>
      <c r="B93">
        <v>0</v>
      </c>
      <c r="C93" s="252" t="s">
        <v>468</v>
      </c>
      <c r="D93" s="253" t="s">
        <v>467</v>
      </c>
      <c r="E93" s="252" t="s">
        <v>106</v>
      </c>
      <c r="F93" s="252" t="s">
        <v>106</v>
      </c>
      <c r="G93" s="350">
        <v>3</v>
      </c>
      <c r="H93" s="351">
        <v>3</v>
      </c>
      <c r="I93">
        <v>0</v>
      </c>
      <c r="J93">
        <v>0</v>
      </c>
      <c r="K93" s="20">
        <v>0.28532398562135519</v>
      </c>
      <c r="L93" s="20">
        <v>-0.53148148148148167</v>
      </c>
      <c r="M93" s="20">
        <v>-0.30601400439100024</v>
      </c>
      <c r="N93" s="20">
        <v>-0.45217897317569467</v>
      </c>
      <c r="O93" s="311">
        <v>1</v>
      </c>
      <c r="P93" s="20">
        <v>0.3277407348543715</v>
      </c>
      <c r="Q93" s="20">
        <v>0.18567503664915996</v>
      </c>
      <c r="R93" s="312">
        <v>2</v>
      </c>
      <c r="S93" s="20">
        <v>-0.67756556537485446</v>
      </c>
      <c r="T93" s="20">
        <v>-0.30999265350855776</v>
      </c>
      <c r="U93" s="20">
        <v>-1.0304761904761905</v>
      </c>
      <c r="V93" s="20">
        <v>9.7680097680097333E-2</v>
      </c>
      <c r="W93" s="312">
        <v>1</v>
      </c>
      <c r="X93" s="313">
        <v>4</v>
      </c>
      <c r="Y93" s="236">
        <f>18.4067404654483-((((AVERAGE(K93:N93)+AVERAGE(Q93+AVERAGE(S93:V93))))))</f>
        <v>18.952241625075722</v>
      </c>
    </row>
    <row r="94" spans="1:25">
      <c r="A94">
        <v>65</v>
      </c>
      <c r="B94">
        <v>0</v>
      </c>
      <c r="C94" s="252" t="s">
        <v>450</v>
      </c>
      <c r="D94" s="253" t="s">
        <v>139</v>
      </c>
      <c r="E94" s="252" t="s">
        <v>113</v>
      </c>
      <c r="F94" s="252" t="s">
        <v>106</v>
      </c>
      <c r="G94" s="350">
        <v>2</v>
      </c>
      <c r="H94" s="351">
        <v>2</v>
      </c>
      <c r="I94">
        <v>0</v>
      </c>
      <c r="J94">
        <v>0</v>
      </c>
      <c r="K94" s="305">
        <v>-0.53349550552950742</v>
      </c>
      <c r="L94" s="305">
        <v>-0.11238095238095269</v>
      </c>
      <c r="M94" s="305">
        <v>0.11412295408231987</v>
      </c>
      <c r="N94" s="305">
        <v>-0.231442832346195</v>
      </c>
      <c r="O94" s="311">
        <v>-7</v>
      </c>
      <c r="P94" s="305">
        <v>0.37054629040992815</v>
      </c>
      <c r="Q94" s="305">
        <v>7.2837118888887886E-2</v>
      </c>
      <c r="R94" s="312">
        <v>4</v>
      </c>
      <c r="S94" s="305">
        <v>-0.57102759834414352</v>
      </c>
      <c r="T94" s="305">
        <v>-7.7493314450867601E-2</v>
      </c>
      <c r="U94" s="305">
        <v>-0.23809523809523814</v>
      </c>
      <c r="V94" s="305">
        <v>0.28571428571428559</v>
      </c>
      <c r="W94" s="312">
        <v>-1</v>
      </c>
      <c r="X94" s="313">
        <v>-4</v>
      </c>
      <c r="Y94" s="236">
        <f>16.2059783832182-((((AVERAGE(K94:N94)+AVERAGE(Q94+AVERAGE(S94:V94))))))</f>
        <v>16.474165814666886</v>
      </c>
    </row>
    <row r="95" spans="1:25">
      <c r="A95">
        <v>66</v>
      </c>
      <c r="B95">
        <v>0</v>
      </c>
      <c r="C95" s="252" t="s">
        <v>315</v>
      </c>
      <c r="D95" s="253" t="s">
        <v>314</v>
      </c>
      <c r="E95" s="252" t="s">
        <v>113</v>
      </c>
      <c r="F95" s="252" t="s">
        <v>140</v>
      </c>
      <c r="G95" s="350"/>
      <c r="H95" s="351">
        <v>3</v>
      </c>
      <c r="I95">
        <v>0</v>
      </c>
      <c r="J95">
        <v>0</v>
      </c>
      <c r="K95" s="20">
        <v>-4.4146129862253858E-2</v>
      </c>
      <c r="L95" s="20">
        <v>-4.912698412698413E-2</v>
      </c>
      <c r="M95" s="20">
        <v>-0.45547592784212076</v>
      </c>
      <c r="N95" s="20">
        <v>-0.27610709553470958</v>
      </c>
      <c r="O95" s="311">
        <v>0</v>
      </c>
      <c r="P95" s="20">
        <v>0.36570436886345981</v>
      </c>
      <c r="Q95" s="20">
        <v>-1.5586840664042634</v>
      </c>
      <c r="R95" s="312">
        <v>11</v>
      </c>
      <c r="S95" s="20">
        <v>1.5822849625026756</v>
      </c>
      <c r="T95" s="20">
        <v>-0.36611920044121593</v>
      </c>
      <c r="U95" s="20">
        <v>-0.36111111111111116</v>
      </c>
      <c r="V95" s="20">
        <v>-2.8571428571428572</v>
      </c>
      <c r="W95" s="312">
        <v>8</v>
      </c>
      <c r="X95" s="313">
        <v>19</v>
      </c>
      <c r="Y95" s="236">
        <f>7.31620955890849-((((AVERAGE(K95:N95)+AVERAGE(Q95+AVERAGE(S95:V95))))))</f>
        <v>9.5816297112023978</v>
      </c>
    </row>
    <row r="96" spans="1:25">
      <c r="A96">
        <v>68</v>
      </c>
      <c r="B96">
        <v>0</v>
      </c>
      <c r="C96" s="252" t="s">
        <v>570</v>
      </c>
      <c r="D96" s="253" t="s">
        <v>569</v>
      </c>
      <c r="E96" s="252" t="s">
        <v>113</v>
      </c>
      <c r="F96" s="252" t="s">
        <v>112</v>
      </c>
      <c r="G96" s="350">
        <v>1</v>
      </c>
      <c r="H96" s="351">
        <v>2</v>
      </c>
      <c r="I96">
        <v>0</v>
      </c>
      <c r="J96">
        <v>0</v>
      </c>
      <c r="K96" s="305">
        <v>-0.51652874560982021</v>
      </c>
      <c r="L96" s="305">
        <v>1.1190476190476417E-2</v>
      </c>
      <c r="M96" s="305">
        <v>0.77251784654311884</v>
      </c>
      <c r="N96" s="305">
        <v>-0.24924124345347565</v>
      </c>
      <c r="O96" s="311">
        <v>-3</v>
      </c>
      <c r="P96" s="305">
        <v>0.2661720291493026</v>
      </c>
      <c r="Q96" s="305">
        <v>0.31864710423802389</v>
      </c>
      <c r="R96" s="312">
        <v>1</v>
      </c>
      <c r="S96" s="305">
        <v>-0.86739403574458596</v>
      </c>
      <c r="T96" s="305">
        <v>-0.84052609506987785</v>
      </c>
      <c r="U96" s="305">
        <v>-0.88253968253968296</v>
      </c>
      <c r="V96" s="305">
        <v>-0.23809523809523725</v>
      </c>
      <c r="W96" s="312">
        <v>5</v>
      </c>
      <c r="X96" s="313">
        <v>3</v>
      </c>
      <c r="Y96" s="236">
        <f>21.0546720880328-((((AVERAGE(K96:N96)+AVERAGE(Q96+AVERAGE(S96:V96))))))</f>
        <v>21.438679163239545</v>
      </c>
    </row>
    <row r="97" spans="1:25">
      <c r="A97">
        <v>71</v>
      </c>
      <c r="B97">
        <v>0</v>
      </c>
      <c r="C97" s="252" t="s">
        <v>382</v>
      </c>
      <c r="D97" s="253" t="s">
        <v>381</v>
      </c>
      <c r="E97" s="252" t="s">
        <v>115</v>
      </c>
      <c r="F97" s="252" t="s">
        <v>118</v>
      </c>
      <c r="G97" s="350">
        <v>2</v>
      </c>
      <c r="H97" s="351">
        <v>3</v>
      </c>
      <c r="I97">
        <v>0</v>
      </c>
      <c r="J97">
        <v>0</v>
      </c>
      <c r="K97" s="305">
        <v>-0.89288423372260706</v>
      </c>
      <c r="L97" s="305">
        <v>-0.33253968253968313</v>
      </c>
      <c r="M97" s="305">
        <v>-0.53631568694894582</v>
      </c>
      <c r="N97" s="305">
        <v>-0.32570118204286747</v>
      </c>
      <c r="O97" s="311">
        <v>21</v>
      </c>
      <c r="P97" s="305">
        <v>-3.0537713969532199E-2</v>
      </c>
      <c r="Q97" s="305">
        <v>0.32876216067038477</v>
      </c>
      <c r="R97" s="312">
        <v>15</v>
      </c>
      <c r="S97" s="305">
        <v>0.25167991818983904</v>
      </c>
      <c r="T97" s="305">
        <v>-0.70092401447161201</v>
      </c>
      <c r="U97" s="305">
        <v>1.1904761904761898</v>
      </c>
      <c r="V97" s="305">
        <v>1.7261904761904763</v>
      </c>
      <c r="W97" s="312">
        <v>-43</v>
      </c>
      <c r="X97" s="313">
        <v>-7</v>
      </c>
      <c r="Y97" s="236">
        <f>17.6439388363713-((((AVERAGE(K97:N97)+AVERAGE(Q97+AVERAGE(S97:V97))))))</f>
        <v>17.22018122941822</v>
      </c>
    </row>
    <row r="98" spans="1:25">
      <c r="A98">
        <v>72</v>
      </c>
      <c r="B98">
        <v>0</v>
      </c>
      <c r="C98" s="252" t="s">
        <v>588</v>
      </c>
      <c r="D98" s="253" t="s">
        <v>587</v>
      </c>
      <c r="E98" s="252" t="s">
        <v>113</v>
      </c>
      <c r="F98" s="252" t="s">
        <v>140</v>
      </c>
      <c r="G98" s="350">
        <v>2</v>
      </c>
      <c r="H98" s="351">
        <v>3</v>
      </c>
      <c r="I98">
        <v>0</v>
      </c>
      <c r="J98">
        <v>0</v>
      </c>
      <c r="K98" s="305">
        <v>-0.63509376679085783</v>
      </c>
      <c r="L98" s="305">
        <v>-0.59010989010988979</v>
      </c>
      <c r="M98" s="305">
        <v>0.66149015513068621</v>
      </c>
      <c r="N98" s="305">
        <v>-0.13155682539700297</v>
      </c>
      <c r="O98" s="311">
        <v>-5</v>
      </c>
      <c r="P98" s="305">
        <v>0.32712036448400106</v>
      </c>
      <c r="Q98" s="305">
        <v>0.36731624468850121</v>
      </c>
      <c r="R98" s="312">
        <v>-1</v>
      </c>
      <c r="S98" s="305">
        <v>5.9273618075561529E-2</v>
      </c>
      <c r="T98" s="305">
        <v>-0.5627684468794083</v>
      </c>
      <c r="U98" s="305">
        <v>-0.83150183150183121</v>
      </c>
      <c r="V98" s="305">
        <v>0.17857142857142883</v>
      </c>
      <c r="W98" s="312">
        <v>-6</v>
      </c>
      <c r="X98" s="313">
        <v>-12</v>
      </c>
      <c r="Y98" s="236">
        <f>20.0296901935441-((((AVERAGE(K98:N98)+AVERAGE(Q98+AVERAGE(S98:V98))))))</f>
        <v>20.125297838580927</v>
      </c>
    </row>
    <row r="99" spans="1:25">
      <c r="A99">
        <v>74</v>
      </c>
      <c r="B99">
        <v>0</v>
      </c>
      <c r="C99" s="252" t="s">
        <v>656</v>
      </c>
      <c r="D99" s="253" t="s">
        <v>655</v>
      </c>
      <c r="E99" s="252" t="s">
        <v>109</v>
      </c>
      <c r="F99" s="252" t="s">
        <v>141</v>
      </c>
      <c r="G99" s="350">
        <v>2</v>
      </c>
      <c r="H99" s="351">
        <v>2</v>
      </c>
      <c r="I99">
        <v>0</v>
      </c>
      <c r="J99">
        <v>0</v>
      </c>
      <c r="K99" s="20">
        <v>-1.1060443953091399</v>
      </c>
      <c r="L99" s="20">
        <v>-7.8571428571430069E-2</v>
      </c>
      <c r="M99" s="20">
        <v>0.79804757926972947</v>
      </c>
      <c r="N99" s="20">
        <v>-0.3486902442355273</v>
      </c>
      <c r="O99" s="311">
        <v>-1</v>
      </c>
      <c r="P99" s="20">
        <v>0.27104494831767578</v>
      </c>
      <c r="Q99" s="20">
        <v>0.36378812715686681</v>
      </c>
      <c r="R99" s="312">
        <v>1</v>
      </c>
      <c r="S99" s="20">
        <v>-0.1857831063632025</v>
      </c>
      <c r="T99" s="20">
        <v>-0.48513616847789098</v>
      </c>
      <c r="U99" s="20">
        <v>-0.64285714285714324</v>
      </c>
      <c r="V99" s="20">
        <v>-1.4285714285714279</v>
      </c>
      <c r="W99" s="312">
        <v>23</v>
      </c>
      <c r="X99" s="313">
        <v>23</v>
      </c>
      <c r="Y99" s="236">
        <f>18.1789304297852-((((AVERAGE(K99:N99)+AVERAGE(Q99+AVERAGE(S99:V99))))))</f>
        <v>18.68454388640734</v>
      </c>
    </row>
    <row r="100" spans="1:25">
      <c r="A100">
        <v>75</v>
      </c>
      <c r="B100">
        <v>0</v>
      </c>
      <c r="C100" s="252" t="s">
        <v>430</v>
      </c>
      <c r="D100" s="253" t="s">
        <v>429</v>
      </c>
      <c r="E100" s="252" t="s">
        <v>107</v>
      </c>
      <c r="F100" s="252" t="s">
        <v>121</v>
      </c>
      <c r="G100" s="350">
        <v>4</v>
      </c>
      <c r="H100" s="351">
        <v>3</v>
      </c>
      <c r="I100">
        <v>0</v>
      </c>
      <c r="J100">
        <v>0</v>
      </c>
      <c r="K100" s="20">
        <v>7.7805773888066199E-2</v>
      </c>
      <c r="L100" s="20">
        <v>-0.27380952380952372</v>
      </c>
      <c r="M100" s="20">
        <v>-0.84735007449953792</v>
      </c>
      <c r="N100" s="20">
        <v>-0.34191917162950691</v>
      </c>
      <c r="O100" s="311">
        <v>6</v>
      </c>
      <c r="P100" s="20">
        <v>0.38029427727154985</v>
      </c>
      <c r="Q100" s="20">
        <v>0.13815251340499302</v>
      </c>
      <c r="R100" s="312">
        <v>5</v>
      </c>
      <c r="S100" s="20">
        <v>-0.85502253583980092</v>
      </c>
      <c r="T100" s="20">
        <v>-0.50481461071842304</v>
      </c>
      <c r="U100" s="20">
        <v>-1.2216117216117217</v>
      </c>
      <c r="V100" s="20">
        <v>-0.39285714285714235</v>
      </c>
      <c r="W100" s="312">
        <v>17</v>
      </c>
      <c r="X100" s="313">
        <v>28</v>
      </c>
      <c r="Y100" s="236">
        <f>17.6052970792974-((((AVERAGE(K100:N100)+AVERAGE(Q100+AVERAGE(S100:V100))))))</f>
        <v>18.557039317661804</v>
      </c>
    </row>
    <row r="101" spans="1:25">
      <c r="A101">
        <v>76</v>
      </c>
      <c r="B101">
        <v>0</v>
      </c>
      <c r="C101" s="252" t="s">
        <v>622</v>
      </c>
      <c r="D101" s="253" t="s">
        <v>142</v>
      </c>
      <c r="E101" s="252" t="s">
        <v>109</v>
      </c>
      <c r="F101" s="252" t="s">
        <v>141</v>
      </c>
      <c r="G101" s="350">
        <v>3</v>
      </c>
      <c r="H101" s="351">
        <v>3</v>
      </c>
      <c r="I101">
        <v>0</v>
      </c>
      <c r="J101">
        <v>0</v>
      </c>
      <c r="K101" s="20">
        <v>-0.24866957111667976</v>
      </c>
      <c r="L101" s="20">
        <v>-0.5</v>
      </c>
      <c r="M101" s="20">
        <v>0.57610651294139359</v>
      </c>
      <c r="N101" s="20">
        <v>-0.4265015912859047</v>
      </c>
      <c r="O101" s="311">
        <v>-9</v>
      </c>
      <c r="P101" s="20">
        <v>0.34444645169645227</v>
      </c>
      <c r="Q101" s="20">
        <v>0.22339530037303756</v>
      </c>
      <c r="R101" s="312">
        <v>7</v>
      </c>
      <c r="S101" s="20">
        <v>-0.78800639336591694</v>
      </c>
      <c r="T101" s="20">
        <v>-0.2587250529537819</v>
      </c>
      <c r="U101" s="20">
        <v>-0.85714285714285765</v>
      </c>
      <c r="V101" s="20">
        <v>-0.42857142857142705</v>
      </c>
      <c r="W101" s="312">
        <v>11</v>
      </c>
      <c r="X101" s="313">
        <v>9</v>
      </c>
      <c r="Y101" s="236">
        <f>18.7809077850079-((((AVERAGE(K101:N101)+AVERAGE(Q101+AVERAGE(S101:V101))))))</f>
        <v>19.290390080008656</v>
      </c>
    </row>
    <row r="102" spans="1:25">
      <c r="A102">
        <v>77</v>
      </c>
      <c r="B102">
        <v>0</v>
      </c>
      <c r="C102" s="252" t="s">
        <v>492</v>
      </c>
      <c r="D102" s="253" t="s">
        <v>491</v>
      </c>
      <c r="E102" s="252" t="s">
        <v>119</v>
      </c>
      <c r="F102" s="252" t="s">
        <v>125</v>
      </c>
      <c r="G102" s="350">
        <v>3</v>
      </c>
      <c r="H102" s="351">
        <v>3</v>
      </c>
      <c r="I102">
        <v>0</v>
      </c>
      <c r="J102">
        <v>0</v>
      </c>
      <c r="K102" s="20">
        <v>0.41863187264767987</v>
      </c>
      <c r="L102" s="20">
        <v>-0.41894557823129297</v>
      </c>
      <c r="M102" s="20">
        <v>-0.25130280265406801</v>
      </c>
      <c r="N102" s="20">
        <v>-0.43194916778997516</v>
      </c>
      <c r="O102" s="311">
        <v>-3</v>
      </c>
      <c r="P102" s="20">
        <v>0.41788472133926557</v>
      </c>
      <c r="Q102" s="20">
        <v>0.24959522223907538</v>
      </c>
      <c r="R102" s="312">
        <v>7</v>
      </c>
      <c r="S102" s="20">
        <v>-0.24414901787156085</v>
      </c>
      <c r="T102" s="20">
        <v>-0.57162283305320738</v>
      </c>
      <c r="U102" s="20">
        <v>-0.91836734693877453</v>
      </c>
      <c r="V102" s="20">
        <v>-4.5351473922902841E-2</v>
      </c>
      <c r="W102" s="312">
        <v>0</v>
      </c>
      <c r="X102" s="313">
        <v>4</v>
      </c>
      <c r="Y102" s="236">
        <f>17.3495329849201-((((AVERAGE(K102:N102)+AVERAGE(Q102+AVERAGE(S102:V102))))))</f>
        <v>17.715701849634549</v>
      </c>
    </row>
    <row r="103" spans="1:25">
      <c r="A103">
        <v>78</v>
      </c>
      <c r="B103">
        <v>0</v>
      </c>
      <c r="C103" s="252" t="s">
        <v>273</v>
      </c>
      <c r="D103" s="253" t="s">
        <v>272</v>
      </c>
      <c r="E103" s="252" t="s">
        <v>119</v>
      </c>
      <c r="F103" s="252" t="s">
        <v>136</v>
      </c>
      <c r="G103" s="350"/>
      <c r="H103" s="351">
        <v>3</v>
      </c>
      <c r="I103">
        <v>0</v>
      </c>
      <c r="J103">
        <v>0</v>
      </c>
      <c r="K103" s="305">
        <v>-5.020048170142033E-2</v>
      </c>
      <c r="L103" s="305">
        <v>-0.37517006802721031</v>
      </c>
      <c r="M103" s="305">
        <v>-0.72382857499862885</v>
      </c>
      <c r="N103" s="305">
        <v>-0.2443095765888037</v>
      </c>
      <c r="O103" s="311">
        <v>7</v>
      </c>
      <c r="P103" s="305">
        <v>6.6620046620046622</v>
      </c>
      <c r="Q103" s="305">
        <v>-4.3083632558511553E-3</v>
      </c>
      <c r="R103" s="312">
        <v>-43</v>
      </c>
      <c r="S103" s="305">
        <v>0.36337869231803066</v>
      </c>
      <c r="T103" s="305">
        <v>3.6130953679184827</v>
      </c>
      <c r="U103" s="305">
        <v>-0.71428571428571441</v>
      </c>
      <c r="V103" s="305">
        <v>2.1428571428571419</v>
      </c>
      <c r="W103" s="312">
        <v>-34</v>
      </c>
      <c r="X103" s="313">
        <v>-70</v>
      </c>
      <c r="Y103" s="236">
        <f>14.578304641463-((((AVERAGE(K103:N103)+AVERAGE(Q103+AVERAGE(S103:V103))))))</f>
        <v>13.57972880784588</v>
      </c>
    </row>
    <row r="104" spans="1:25">
      <c r="A104">
        <v>80</v>
      </c>
      <c r="B104">
        <v>0</v>
      </c>
      <c r="C104" s="252" t="s">
        <v>472</v>
      </c>
      <c r="D104" s="253" t="s">
        <v>143</v>
      </c>
      <c r="E104" s="252" t="s">
        <v>115</v>
      </c>
      <c r="F104" s="252" t="s">
        <v>118</v>
      </c>
      <c r="G104" s="350">
        <v>2</v>
      </c>
      <c r="H104" s="351">
        <v>2</v>
      </c>
      <c r="I104">
        <v>0</v>
      </c>
      <c r="J104">
        <v>0</v>
      </c>
      <c r="K104" s="305">
        <v>-0.45498150609300669</v>
      </c>
      <c r="L104" s="305">
        <v>2.8367346938775513</v>
      </c>
      <c r="M104" s="305">
        <v>-1.4006689236069318</v>
      </c>
      <c r="N104" s="305">
        <v>-0.56206305351389041</v>
      </c>
      <c r="O104" s="311">
        <v>-31</v>
      </c>
      <c r="P104" s="305">
        <v>0.3281203644840005</v>
      </c>
      <c r="Q104" s="305">
        <v>7.07665505226481</v>
      </c>
      <c r="R104" s="312">
        <v>-130</v>
      </c>
      <c r="S104" s="305">
        <v>2.5650326967785784</v>
      </c>
      <c r="T104" s="305">
        <v>2.9317898513755374</v>
      </c>
      <c r="U104" s="305">
        <v>1.1904761904761907</v>
      </c>
      <c r="V104" s="305">
        <v>-0.44217687074829826</v>
      </c>
      <c r="W104" s="312">
        <v>-59</v>
      </c>
      <c r="X104" s="313">
        <v>-220</v>
      </c>
      <c r="Y104" s="236">
        <f>18.0067068194293-((((AVERAGE(K104:N104)+AVERAGE(Q104+AVERAGE(S104:V104))))))</f>
        <v>9.2640159975280589</v>
      </c>
    </row>
    <row r="105" spans="1:25">
      <c r="A105">
        <v>81</v>
      </c>
      <c r="B105">
        <v>0</v>
      </c>
      <c r="C105" s="252" t="s">
        <v>646</v>
      </c>
      <c r="D105" s="253" t="s">
        <v>144</v>
      </c>
      <c r="E105" s="252" t="s">
        <v>119</v>
      </c>
      <c r="F105" s="252" t="s">
        <v>128</v>
      </c>
      <c r="G105" s="350">
        <v>1</v>
      </c>
      <c r="H105" s="351">
        <v>2</v>
      </c>
      <c r="I105">
        <v>1</v>
      </c>
      <c r="J105">
        <v>0</v>
      </c>
      <c r="K105" s="20">
        <v>-0.66443205245926418</v>
      </c>
      <c r="L105" s="20">
        <v>-1.0392517006802731</v>
      </c>
      <c r="M105" s="20">
        <v>-1.7809382270943175</v>
      </c>
      <c r="N105" s="20">
        <v>-0.27688958860131496</v>
      </c>
      <c r="O105" s="311">
        <v>25</v>
      </c>
      <c r="P105" s="20">
        <v>0.41249006380824493</v>
      </c>
      <c r="Q105" s="20">
        <v>0.4960526087556083</v>
      </c>
      <c r="R105" s="312">
        <v>-8</v>
      </c>
      <c r="S105" s="20">
        <v>1.3186951920658165</v>
      </c>
      <c r="T105" s="20">
        <v>0.34871268564480395</v>
      </c>
      <c r="U105" s="20">
        <v>-9.5238095238096676E-2</v>
      </c>
      <c r="V105" s="20">
        <v>0.23809523809523903</v>
      </c>
      <c r="W105" s="312">
        <v>-37</v>
      </c>
      <c r="X105" s="313">
        <v>-20</v>
      </c>
      <c r="Y105" s="236">
        <f>19.3927850808725-((((AVERAGE(K105:N105)+AVERAGE(Q105+AVERAGE(S105:V105))))))</f>
        <v>19.384544109183743</v>
      </c>
    </row>
    <row r="106" spans="1:25">
      <c r="A106">
        <v>83</v>
      </c>
      <c r="B106">
        <v>0</v>
      </c>
      <c r="C106" s="252" t="s">
        <v>378</v>
      </c>
      <c r="D106" s="253" t="s">
        <v>377</v>
      </c>
      <c r="E106" s="252" t="s">
        <v>113</v>
      </c>
      <c r="F106" s="252" t="s">
        <v>114</v>
      </c>
      <c r="G106" s="350">
        <v>2</v>
      </c>
      <c r="H106" s="351">
        <v>2</v>
      </c>
      <c r="I106">
        <v>0</v>
      </c>
      <c r="J106">
        <v>0</v>
      </c>
      <c r="K106" s="305">
        <v>0.86723401813264456</v>
      </c>
      <c r="L106" s="305">
        <v>-0.40000000000000036</v>
      </c>
      <c r="M106" s="305">
        <v>0.39581334696890824</v>
      </c>
      <c r="N106" s="305">
        <v>1.3751550241539441</v>
      </c>
      <c r="O106" s="311">
        <v>-61</v>
      </c>
      <c r="P106" s="305">
        <v>0.22737922347013217</v>
      </c>
      <c r="Q106" s="305">
        <v>-6.5616192313509467</v>
      </c>
      <c r="R106" s="312">
        <v>143</v>
      </c>
      <c r="S106" s="305">
        <v>-0.41053771213603962</v>
      </c>
      <c r="T106" s="305">
        <v>-0.45254627660867763</v>
      </c>
      <c r="U106" s="305">
        <v>-0.85714285714285676</v>
      </c>
      <c r="V106" s="305">
        <v>-1.4285714285714279</v>
      </c>
      <c r="W106" s="312">
        <v>29</v>
      </c>
      <c r="X106" s="313">
        <v>111</v>
      </c>
      <c r="Y106" s="236">
        <f>10.4174070665319-((((AVERAGE(K106:N106)+AVERAGE(Q106+AVERAGE(S106:V106))))))</f>
        <v>17.206675269183723</v>
      </c>
    </row>
    <row r="107" spans="1:25">
      <c r="A107">
        <v>85</v>
      </c>
      <c r="B107">
        <v>0</v>
      </c>
      <c r="C107" s="252" t="s">
        <v>432</v>
      </c>
      <c r="D107" s="253" t="s">
        <v>145</v>
      </c>
      <c r="E107" s="252" t="s">
        <v>119</v>
      </c>
      <c r="F107" s="252" t="s">
        <v>125</v>
      </c>
      <c r="G107" s="350">
        <v>3</v>
      </c>
      <c r="H107" s="351">
        <v>3</v>
      </c>
      <c r="I107">
        <v>0</v>
      </c>
      <c r="J107">
        <v>0</v>
      </c>
      <c r="K107" s="20">
        <v>1.283912430973567</v>
      </c>
      <c r="L107" s="20">
        <v>-0.42817460317460299</v>
      </c>
      <c r="M107" s="20">
        <v>-0.54936044697934072</v>
      </c>
      <c r="N107" s="20">
        <v>-0.62436961577974426</v>
      </c>
      <c r="O107" s="311">
        <v>-18</v>
      </c>
      <c r="P107" s="20">
        <v>0.42541330554966983</v>
      </c>
      <c r="Q107" s="20">
        <v>0.29892430928161851</v>
      </c>
      <c r="R107" s="312">
        <v>1</v>
      </c>
      <c r="S107" s="20">
        <v>0.44695868949770068</v>
      </c>
      <c r="T107" s="20">
        <v>-0.67511468967258104</v>
      </c>
      <c r="U107" s="20">
        <v>-1.0357142857142847</v>
      </c>
      <c r="V107" s="20">
        <v>0.4761904761904745</v>
      </c>
      <c r="W107" s="312">
        <v>-8</v>
      </c>
      <c r="X107" s="313">
        <v>-25</v>
      </c>
      <c r="Y107" s="236">
        <f>17.6039688263714-((((AVERAGE(K107:N107)+AVERAGE(Q107+AVERAGE(S107:V107))))))</f>
        <v>17.581462528254484</v>
      </c>
    </row>
    <row r="108" spans="1:25">
      <c r="A108">
        <v>86</v>
      </c>
      <c r="B108">
        <v>0</v>
      </c>
      <c r="C108" s="252" t="s">
        <v>664</v>
      </c>
      <c r="D108" s="253" t="s">
        <v>663</v>
      </c>
      <c r="E108" s="252" t="s">
        <v>113</v>
      </c>
      <c r="F108" s="252" t="s">
        <v>140</v>
      </c>
      <c r="G108" s="350">
        <v>3</v>
      </c>
      <c r="H108" s="351">
        <v>2</v>
      </c>
      <c r="I108">
        <v>0</v>
      </c>
      <c r="J108">
        <v>0</v>
      </c>
      <c r="K108" s="305">
        <v>0.24914756657993564</v>
      </c>
      <c r="L108" s="305">
        <v>-0.26904761904761898</v>
      </c>
      <c r="M108" s="305">
        <v>1.1574410417097569</v>
      </c>
      <c r="N108" s="305">
        <v>-0.30956875731806122</v>
      </c>
      <c r="O108" s="311">
        <v>-36</v>
      </c>
      <c r="P108" s="305">
        <v>0.33742202914930175</v>
      </c>
      <c r="Q108" s="305">
        <v>0.40462350935859792</v>
      </c>
      <c r="R108" s="312">
        <v>2</v>
      </c>
      <c r="S108" s="305">
        <v>-0.86281381756390019</v>
      </c>
      <c r="T108" s="305">
        <v>-0.38350543450618524</v>
      </c>
      <c r="U108" s="305">
        <v>-0.78571428571428648</v>
      </c>
      <c r="V108" s="305">
        <v>-0.5952380952380949</v>
      </c>
      <c r="W108" s="312">
        <v>21</v>
      </c>
      <c r="X108" s="313">
        <v>-13</v>
      </c>
      <c r="Y108" s="236">
        <f>17.5861245612681-((((AVERAGE(K108:N108)+AVERAGE(Q108+AVERAGE(S108:V108))))))</f>
        <v>17.631325902184116</v>
      </c>
    </row>
    <row r="109" spans="1:25">
      <c r="A109">
        <v>88</v>
      </c>
      <c r="B109">
        <v>0</v>
      </c>
      <c r="C109" s="252" t="s">
        <v>309</v>
      </c>
      <c r="D109" s="253" t="s">
        <v>308</v>
      </c>
      <c r="E109" s="252" t="s">
        <v>107</v>
      </c>
      <c r="F109" s="252" t="s">
        <v>122</v>
      </c>
      <c r="G109" s="350">
        <v>4</v>
      </c>
      <c r="H109" s="351">
        <v>4</v>
      </c>
      <c r="I109">
        <v>0</v>
      </c>
      <c r="J109">
        <v>0</v>
      </c>
      <c r="K109" s="20">
        <v>-0.33876528902101732</v>
      </c>
      <c r="L109" s="20">
        <v>-0.2200000000000002</v>
      </c>
      <c r="M109" s="20">
        <v>-0.18117415340818965</v>
      </c>
      <c r="N109" s="20">
        <v>-6.7970810672575155E-2</v>
      </c>
      <c r="O109" s="311">
        <v>-6</v>
      </c>
      <c r="P109" s="20">
        <v>0.48501569306114778</v>
      </c>
      <c r="Q109" s="20">
        <v>1.922915139340553E-2</v>
      </c>
      <c r="R109" s="312">
        <v>2</v>
      </c>
      <c r="S109" s="20">
        <v>-0.11402950795137334</v>
      </c>
      <c r="T109" s="20">
        <v>-5.0643257428814703E-2</v>
      </c>
      <c r="U109" s="20">
        <v>0</v>
      </c>
      <c r="V109" s="20">
        <v>0</v>
      </c>
      <c r="W109" s="312">
        <v>1</v>
      </c>
      <c r="X109" s="313">
        <v>-3</v>
      </c>
      <c r="Y109" s="236">
        <f>12.9309858069211-((((AVERAGE(K109:N109)+AVERAGE(Q109+AVERAGE(S109:V109))))))</f>
        <v>13.154902410148187</v>
      </c>
    </row>
    <row r="110" spans="1:25">
      <c r="A110">
        <v>89</v>
      </c>
      <c r="B110">
        <v>0</v>
      </c>
      <c r="C110" s="252" t="s">
        <v>498</v>
      </c>
      <c r="D110" s="253" t="s">
        <v>146</v>
      </c>
      <c r="E110" s="252" t="s">
        <v>113</v>
      </c>
      <c r="F110" s="252" t="s">
        <v>134</v>
      </c>
      <c r="G110" s="350">
        <v>2</v>
      </c>
      <c r="H110" s="351">
        <v>2</v>
      </c>
      <c r="I110">
        <v>0</v>
      </c>
      <c r="J110">
        <v>0</v>
      </c>
      <c r="K110" s="305">
        <v>-0.91955063346366916</v>
      </c>
      <c r="L110" s="305">
        <v>-0.29111111111111132</v>
      </c>
      <c r="M110" s="305">
        <v>-0.65679292309429815</v>
      </c>
      <c r="N110" s="305">
        <v>0.10752840631199412</v>
      </c>
      <c r="O110" s="311">
        <v>5</v>
      </c>
      <c r="P110" s="305">
        <v>0.38345369781733574</v>
      </c>
      <c r="Q110" s="305">
        <v>-0.14974982571974227</v>
      </c>
      <c r="R110" s="312">
        <v>9</v>
      </c>
      <c r="S110" s="305">
        <v>-1.8761830662226793</v>
      </c>
      <c r="T110" s="305">
        <v>-0.22203918210006712</v>
      </c>
      <c r="U110" s="305">
        <v>-0.41269841269841301</v>
      </c>
      <c r="V110" s="305">
        <v>0</v>
      </c>
      <c r="W110" s="312">
        <v>20</v>
      </c>
      <c r="X110" s="313">
        <v>34</v>
      </c>
      <c r="Y110" s="236">
        <f>14.5757316039816-((((AVERAGE(K110:N110)+AVERAGE(Q110+AVERAGE(S110:V110))))))</f>
        <v>15.793193160295903</v>
      </c>
    </row>
    <row r="111" spans="1:25">
      <c r="A111">
        <v>90</v>
      </c>
      <c r="B111">
        <v>0</v>
      </c>
      <c r="C111" s="252" t="s">
        <v>660</v>
      </c>
      <c r="D111" s="253" t="s">
        <v>147</v>
      </c>
      <c r="E111" s="252" t="s">
        <v>115</v>
      </c>
      <c r="F111" s="252" t="s">
        <v>118</v>
      </c>
      <c r="G111" s="350">
        <v>3</v>
      </c>
      <c r="H111" s="351">
        <v>3</v>
      </c>
      <c r="I111">
        <v>0</v>
      </c>
      <c r="J111">
        <v>0</v>
      </c>
      <c r="K111" s="20">
        <v>-2.1336366402480493</v>
      </c>
      <c r="L111" s="20">
        <v>-0.13492063492063444</v>
      </c>
      <c r="M111" s="20">
        <v>0.66657500490669985</v>
      </c>
      <c r="N111" s="20">
        <v>-0.4887094310456872</v>
      </c>
      <c r="O111" s="311">
        <v>15</v>
      </c>
      <c r="P111" s="20">
        <v>0.31238888300251944</v>
      </c>
      <c r="Q111" s="20">
        <v>0.48578076778791779</v>
      </c>
      <c r="R111" s="312">
        <v>-8</v>
      </c>
      <c r="S111" s="20">
        <v>-3.3581806730890236</v>
      </c>
      <c r="T111" s="20">
        <v>-1.7068553439996874</v>
      </c>
      <c r="U111" s="20">
        <v>1.1904761904761907</v>
      </c>
      <c r="V111" s="20">
        <v>1.4285714285714297</v>
      </c>
      <c r="W111" s="312">
        <v>19</v>
      </c>
      <c r="X111" s="313">
        <v>26</v>
      </c>
      <c r="Y111" s="236">
        <f>18.2979732742328-((((AVERAGE(K111:N111)+AVERAGE(Q111+AVERAGE(S111:V111))))))</f>
        <v>18.946362531282073</v>
      </c>
    </row>
    <row r="112" spans="1:25">
      <c r="A112">
        <v>92</v>
      </c>
      <c r="B112">
        <v>0</v>
      </c>
      <c r="C112" s="252" t="s">
        <v>440</v>
      </c>
      <c r="D112" s="253" t="s">
        <v>439</v>
      </c>
      <c r="E112" s="252" t="s">
        <v>106</v>
      </c>
      <c r="F112" s="252" t="s">
        <v>106</v>
      </c>
      <c r="G112" s="350">
        <v>3</v>
      </c>
      <c r="H112" s="351">
        <v>3</v>
      </c>
      <c r="I112">
        <v>0</v>
      </c>
      <c r="J112">
        <v>0</v>
      </c>
      <c r="K112" s="20">
        <v>-0.51332746040977995</v>
      </c>
      <c r="L112" s="20">
        <v>5.1428571428571601E-2</v>
      </c>
      <c r="M112" s="20">
        <v>-0.96100912882670908</v>
      </c>
      <c r="N112" s="20">
        <v>-0.47596226726018465</v>
      </c>
      <c r="O112" s="311">
        <v>13</v>
      </c>
      <c r="P112" s="20">
        <v>0.49119363212545064</v>
      </c>
      <c r="Q112" s="20">
        <v>0.1005644741349645</v>
      </c>
      <c r="R112" s="312">
        <v>1</v>
      </c>
      <c r="S112" s="20">
        <v>-2.3077772402744285</v>
      </c>
      <c r="T112" s="20">
        <v>-0.51716632755677683</v>
      </c>
      <c r="U112" s="20">
        <v>-0.85714285714285854</v>
      </c>
      <c r="V112" s="20">
        <v>0.17857142857142883</v>
      </c>
      <c r="W112" s="312">
        <v>21</v>
      </c>
      <c r="X112" s="313">
        <v>35</v>
      </c>
      <c r="Y112" s="236">
        <f>17.585028977638-((((AVERAGE(K112:N112)+AVERAGE(Q112+AVERAGE(S112:V112))))))</f>
        <v>18.83506082387072</v>
      </c>
    </row>
    <row r="113" spans="1:25">
      <c r="A113">
        <v>93</v>
      </c>
      <c r="B113">
        <v>0</v>
      </c>
      <c r="C113" s="252" t="s">
        <v>494</v>
      </c>
      <c r="D113" s="253" t="s">
        <v>493</v>
      </c>
      <c r="E113" s="252" t="s">
        <v>107</v>
      </c>
      <c r="F113" s="252" t="s">
        <v>108</v>
      </c>
      <c r="G113" s="350">
        <v>4</v>
      </c>
      <c r="H113" s="351">
        <v>3</v>
      </c>
      <c r="I113">
        <v>0</v>
      </c>
      <c r="J113">
        <v>0</v>
      </c>
      <c r="K113" s="20">
        <v>-3.1268873700063473</v>
      </c>
      <c r="L113" s="20">
        <v>-0.3619047619047624</v>
      </c>
      <c r="M113" s="20">
        <v>-0.80362690955415284</v>
      </c>
      <c r="N113" s="20">
        <v>-0.64425755218330494</v>
      </c>
      <c r="O113" s="311">
        <v>51</v>
      </c>
      <c r="P113" s="20">
        <v>0.24217551976642859</v>
      </c>
      <c r="Q113" s="20">
        <v>5.8660787938816128E-2</v>
      </c>
      <c r="R113" s="312">
        <v>16</v>
      </c>
      <c r="S113" s="20">
        <v>-1.1845128611260238</v>
      </c>
      <c r="T113" s="20">
        <v>0.85696435322625719</v>
      </c>
      <c r="U113" s="20">
        <v>-1.2142857142857144</v>
      </c>
      <c r="V113" s="20">
        <v>-1.4285714285714297</v>
      </c>
      <c r="W113" s="312">
        <v>23</v>
      </c>
      <c r="X113" s="313">
        <v>90</v>
      </c>
      <c r="Y113" s="236">
        <f>13.5496202982484-((((AVERAGE(K113:N113)+AVERAGE(Q113+AVERAGE(S113:V113))))))</f>
        <v>15.467730071410953</v>
      </c>
    </row>
    <row r="114" spans="1:25">
      <c r="A114">
        <v>94</v>
      </c>
      <c r="B114">
        <v>0</v>
      </c>
      <c r="C114" s="252" t="s">
        <v>590</v>
      </c>
      <c r="D114" s="253" t="s">
        <v>589</v>
      </c>
      <c r="E114" s="252" t="s">
        <v>111</v>
      </c>
      <c r="F114" s="252" t="s">
        <v>110</v>
      </c>
      <c r="G114" s="350">
        <v>2</v>
      </c>
      <c r="H114" s="351">
        <v>2</v>
      </c>
      <c r="I114">
        <v>0</v>
      </c>
      <c r="J114">
        <v>0</v>
      </c>
      <c r="K114" s="20">
        <v>-0.89507670819700724</v>
      </c>
      <c r="L114" s="20">
        <v>-0.22063492063491985</v>
      </c>
      <c r="M114" s="20">
        <v>0.9990583041976917</v>
      </c>
      <c r="N114" s="20">
        <v>-0.24634840706948058</v>
      </c>
      <c r="O114" s="311">
        <v>1</v>
      </c>
      <c r="P114" s="20">
        <v>0.35128314026041174</v>
      </c>
      <c r="Q114" s="20">
        <v>0.35095802683322663</v>
      </c>
      <c r="R114" s="312">
        <v>-1</v>
      </c>
      <c r="S114" s="20">
        <v>-1.3875788090566665E-2</v>
      </c>
      <c r="T114" s="20">
        <v>-0.52009461998355722</v>
      </c>
      <c r="U114" s="20">
        <v>-0.7142857142857153</v>
      </c>
      <c r="V114" s="20">
        <v>0</v>
      </c>
      <c r="W114" s="312">
        <v>1</v>
      </c>
      <c r="X114" s="313">
        <v>1</v>
      </c>
      <c r="Y114" s="236">
        <f>20.3237105679463-((((AVERAGE(K114:N114)+AVERAGE(Q114+AVERAGE(S114:V114))))))</f>
        <v>20.375567004628962</v>
      </c>
    </row>
    <row r="115" spans="1:25">
      <c r="A115">
        <v>96</v>
      </c>
      <c r="B115">
        <v>0</v>
      </c>
      <c r="C115" s="252" t="s">
        <v>592</v>
      </c>
      <c r="D115" s="253" t="s">
        <v>591</v>
      </c>
      <c r="E115" s="252" t="s">
        <v>111</v>
      </c>
      <c r="F115" s="252" t="s">
        <v>110</v>
      </c>
      <c r="G115" s="350">
        <v>2</v>
      </c>
      <c r="H115" s="351">
        <v>2</v>
      </c>
      <c r="I115">
        <v>0</v>
      </c>
      <c r="J115">
        <v>0</v>
      </c>
      <c r="K115" s="305">
        <v>-0.77961237360393465</v>
      </c>
      <c r="L115" s="305">
        <v>-0.69126984126984148</v>
      </c>
      <c r="M115" s="305">
        <v>0.69721439886146896</v>
      </c>
      <c r="N115" s="305">
        <v>-0.34703787699652366</v>
      </c>
      <c r="O115" s="311">
        <v>5</v>
      </c>
      <c r="P115" s="305">
        <v>0.37906749311294785</v>
      </c>
      <c r="Q115" s="305">
        <v>0.25755236297893713</v>
      </c>
      <c r="R115" s="312">
        <v>0</v>
      </c>
      <c r="S115" s="305">
        <v>-0.10496948456119082</v>
      </c>
      <c r="T115" s="305">
        <v>-0.51425766725638322</v>
      </c>
      <c r="U115" s="305">
        <v>-0.87301587301587258</v>
      </c>
      <c r="V115" s="305">
        <v>0</v>
      </c>
      <c r="W115" s="312">
        <v>6</v>
      </c>
      <c r="X115" s="313">
        <v>11</v>
      </c>
      <c r="Y115" s="236">
        <f>20.0480860568511-((((AVERAGE(K115:N115)+AVERAGE(Q115+AVERAGE(S115:V115))))))</f>
        <v>20.443770873332735</v>
      </c>
    </row>
    <row r="116" spans="1:25">
      <c r="A116">
        <v>97</v>
      </c>
      <c r="B116">
        <v>0</v>
      </c>
      <c r="C116" s="252" t="s">
        <v>650</v>
      </c>
      <c r="D116" s="253" t="s">
        <v>649</v>
      </c>
      <c r="E116" s="252" t="s">
        <v>113</v>
      </c>
      <c r="F116" s="252" t="s">
        <v>134</v>
      </c>
      <c r="G116" s="350">
        <v>3</v>
      </c>
      <c r="H116" s="351">
        <v>3</v>
      </c>
      <c r="I116">
        <v>0</v>
      </c>
      <c r="J116">
        <v>0</v>
      </c>
      <c r="K116" s="305">
        <v>1.744607516755714E-2</v>
      </c>
      <c r="L116" s="305">
        <v>-0.61227106227106187</v>
      </c>
      <c r="M116" s="305">
        <v>-0.23653711029567193</v>
      </c>
      <c r="N116" s="305">
        <v>-0.14372634457482736</v>
      </c>
      <c r="O116" s="311">
        <v>-4</v>
      </c>
      <c r="P116" s="305">
        <v>0.17987170657625295</v>
      </c>
      <c r="Q116" s="305">
        <v>0.41519041334197748</v>
      </c>
      <c r="R116" s="312">
        <v>-2</v>
      </c>
      <c r="S116" s="305">
        <v>-0.43062361008743588</v>
      </c>
      <c r="T116" s="305">
        <v>-0.47876021883410669</v>
      </c>
      <c r="U116" s="305">
        <v>-0.56043956043956022</v>
      </c>
      <c r="V116" s="305">
        <v>-0.57142857142857117</v>
      </c>
      <c r="W116" s="312">
        <v>6</v>
      </c>
      <c r="X116" s="313">
        <v>0</v>
      </c>
      <c r="Y116" s="236">
        <f>18.7168903285398-((((AVERAGE(K116:N116)+AVERAGE(Q116+AVERAGE(S116:V116))))))</f>
        <v>19.055785015888745</v>
      </c>
    </row>
    <row r="117" spans="1:25">
      <c r="A117">
        <v>99</v>
      </c>
      <c r="B117">
        <v>0</v>
      </c>
      <c r="C117" s="252" t="s">
        <v>458</v>
      </c>
      <c r="D117" s="253" t="s">
        <v>457</v>
      </c>
      <c r="E117" s="252" t="s">
        <v>109</v>
      </c>
      <c r="F117" s="252" t="s">
        <v>117</v>
      </c>
      <c r="G117" s="350">
        <v>3</v>
      </c>
      <c r="H117" s="351">
        <v>3</v>
      </c>
      <c r="I117">
        <v>0</v>
      </c>
      <c r="J117">
        <v>0</v>
      </c>
      <c r="K117" s="305">
        <v>-0.31024155907659523</v>
      </c>
      <c r="L117" s="305">
        <v>0</v>
      </c>
      <c r="M117" s="305">
        <v>0.92128877760179861</v>
      </c>
      <c r="N117" s="305">
        <v>-2.7228318433488496E-2</v>
      </c>
      <c r="O117" s="311">
        <v>-27</v>
      </c>
      <c r="P117" s="305">
        <v>0.38509392879847493</v>
      </c>
      <c r="Q117" s="305">
        <v>0.12189375258429003</v>
      </c>
      <c r="R117" s="312">
        <v>4</v>
      </c>
      <c r="S117" s="305">
        <v>0.67851917730608902</v>
      </c>
      <c r="T117" s="305">
        <v>5.3175260886959563E-3</v>
      </c>
      <c r="U117" s="305">
        <v>0</v>
      </c>
      <c r="V117" s="305">
        <v>0</v>
      </c>
      <c r="W117" s="312">
        <v>-19</v>
      </c>
      <c r="X117" s="313">
        <v>-42</v>
      </c>
      <c r="Y117" s="236">
        <f>16.6336901766211-((((AVERAGE(K117:N117)+AVERAGE(Q117+AVERAGE(S117:V117))))))</f>
        <v>16.194882523165187</v>
      </c>
    </row>
    <row r="118" spans="1:25">
      <c r="A118">
        <v>100</v>
      </c>
      <c r="B118">
        <v>0</v>
      </c>
      <c r="C118" s="252" t="s">
        <v>410</v>
      </c>
      <c r="D118" s="253" t="s">
        <v>409</v>
      </c>
      <c r="E118" s="252" t="s">
        <v>107</v>
      </c>
      <c r="F118" s="252" t="s">
        <v>133</v>
      </c>
      <c r="G118" s="350">
        <v>4</v>
      </c>
      <c r="H118" s="351">
        <v>3</v>
      </c>
      <c r="I118">
        <v>0</v>
      </c>
      <c r="J118">
        <v>0</v>
      </c>
      <c r="K118" s="20">
        <v>-0.20678643999136526</v>
      </c>
      <c r="L118" s="20">
        <v>-1.0121031746031743</v>
      </c>
      <c r="M118" s="20">
        <v>-0.19270241417834821</v>
      </c>
      <c r="N118" s="20">
        <v>-0.27424098674655983</v>
      </c>
      <c r="O118" s="311">
        <v>14</v>
      </c>
      <c r="P118" s="20">
        <v>0.38797020319747588</v>
      </c>
      <c r="Q118" s="20">
        <v>0.38403651317515575</v>
      </c>
      <c r="R118" s="312">
        <v>-1</v>
      </c>
      <c r="S118" s="20">
        <v>-0.92988455291182737</v>
      </c>
      <c r="T118" s="20">
        <v>-0.46729188239096864</v>
      </c>
      <c r="U118" s="20">
        <v>-1.7579365079365079</v>
      </c>
      <c r="V118" s="20">
        <v>0</v>
      </c>
      <c r="W118" s="312">
        <v>23</v>
      </c>
      <c r="X118" s="313">
        <v>36</v>
      </c>
      <c r="Y118" s="236">
        <f>18.1897490306823-((((AVERAGE(K118:N118)+AVERAGE(Q118+AVERAGE(S118:V118))))))</f>
        <v>19.015949007196831</v>
      </c>
    </row>
    <row r="119" spans="1:25">
      <c r="A119">
        <v>102</v>
      </c>
      <c r="B119">
        <v>0</v>
      </c>
      <c r="C119" s="252" t="s">
        <v>506</v>
      </c>
      <c r="D119" s="253" t="s">
        <v>505</v>
      </c>
      <c r="E119" s="252" t="s">
        <v>106</v>
      </c>
      <c r="F119" s="252" t="s">
        <v>106</v>
      </c>
      <c r="G119" s="350">
        <v>3</v>
      </c>
      <c r="H119" s="351">
        <v>3</v>
      </c>
      <c r="I119">
        <v>0</v>
      </c>
      <c r="J119">
        <v>0</v>
      </c>
      <c r="K119" s="305">
        <v>-0.24234945146901854</v>
      </c>
      <c r="L119" s="305">
        <v>-0.91666666666666696</v>
      </c>
      <c r="M119" s="305">
        <v>-0.38087207067528484</v>
      </c>
      <c r="N119" s="305">
        <v>-0.89903706123538019</v>
      </c>
      <c r="O119" s="311">
        <v>23</v>
      </c>
      <c r="P119" s="305">
        <v>6.7194120694120691</v>
      </c>
      <c r="Q119" s="305">
        <v>-6.5267815860821088E-3</v>
      </c>
      <c r="R119" s="312">
        <v>-67</v>
      </c>
      <c r="S119" s="305">
        <v>-2.494240034952488</v>
      </c>
      <c r="T119" s="305">
        <v>-1.8752495009980041</v>
      </c>
      <c r="U119" s="305">
        <v>-1.4444444444444446</v>
      </c>
      <c r="V119" s="305">
        <v>-2.1428571428571432</v>
      </c>
      <c r="W119" s="312">
        <v>84</v>
      </c>
      <c r="X119" s="313">
        <v>40</v>
      </c>
      <c r="Y119" s="236">
        <f>14.7020601750832-((((AVERAGE(K119:N119)+AVERAGE(Q119+AVERAGE(S119:V119))))))</f>
        <v>17.30751604999389</v>
      </c>
    </row>
    <row r="120" spans="1:25">
      <c r="A120">
        <v>103</v>
      </c>
      <c r="B120">
        <v>0</v>
      </c>
      <c r="C120" s="252" t="s">
        <v>654</v>
      </c>
      <c r="D120" s="253" t="s">
        <v>653</v>
      </c>
      <c r="E120" s="252" t="s">
        <v>115</v>
      </c>
      <c r="F120" s="252" t="s">
        <v>124</v>
      </c>
      <c r="G120" s="350">
        <v>2</v>
      </c>
      <c r="H120" s="351">
        <v>2</v>
      </c>
      <c r="I120">
        <v>0</v>
      </c>
      <c r="J120">
        <v>0</v>
      </c>
      <c r="K120" s="305">
        <v>-0.5525494060253191</v>
      </c>
      <c r="L120" s="305">
        <v>-0.92007936507936527</v>
      </c>
      <c r="M120" s="305">
        <v>1.0994608211980541</v>
      </c>
      <c r="N120" s="305">
        <v>-0.1969760556665765</v>
      </c>
      <c r="O120" s="311">
        <v>-6</v>
      </c>
      <c r="P120" s="305">
        <v>0.39018249511431335</v>
      </c>
      <c r="Q120" s="305">
        <v>0.55668088989209874</v>
      </c>
      <c r="R120" s="312">
        <v>-13</v>
      </c>
      <c r="S120" s="305">
        <v>-0.77543244570677894</v>
      </c>
      <c r="T120" s="305">
        <v>0.78140389481594852</v>
      </c>
      <c r="U120" s="305">
        <v>1.3793650793650798</v>
      </c>
      <c r="V120" s="305">
        <v>1.4849624060150379</v>
      </c>
      <c r="W120" s="312">
        <v>-43</v>
      </c>
      <c r="X120" s="313">
        <v>-62</v>
      </c>
      <c r="Y120" s="236">
        <f>20.7395917667893-((((AVERAGE(K120:N120)+AVERAGE(Q120+AVERAGE(S120:V120))))))</f>
        <v>19.607872144668182</v>
      </c>
    </row>
    <row r="121" spans="1:25">
      <c r="A121">
        <v>104</v>
      </c>
      <c r="B121">
        <v>0</v>
      </c>
      <c r="C121" s="252" t="s">
        <v>303</v>
      </c>
      <c r="D121" s="253" t="s">
        <v>302</v>
      </c>
      <c r="E121" s="252" t="s">
        <v>119</v>
      </c>
      <c r="F121" s="252" t="s">
        <v>136</v>
      </c>
      <c r="G121" s="350"/>
      <c r="H121" s="351">
        <v>3</v>
      </c>
      <c r="I121">
        <v>0</v>
      </c>
      <c r="J121">
        <v>0</v>
      </c>
      <c r="K121" s="314">
        <v>0</v>
      </c>
      <c r="L121" s="314">
        <v>2.214285714285714</v>
      </c>
      <c r="M121" s="314">
        <v>0.64419555264879014</v>
      </c>
      <c r="N121" s="314">
        <v>5.0597431206426782</v>
      </c>
      <c r="O121" s="315">
        <v>-5</v>
      </c>
      <c r="P121" s="314">
        <v>6.6731157731157733</v>
      </c>
      <c r="Q121" s="314">
        <v>0</v>
      </c>
      <c r="R121" s="315">
        <v>-12</v>
      </c>
      <c r="S121" s="314">
        <v>0.44605302892693444</v>
      </c>
      <c r="T121" s="314">
        <v>2.7775043255780871</v>
      </c>
      <c r="U121" s="314">
        <v>5.1904761904761907</v>
      </c>
      <c r="V121" s="314">
        <v>6.6190476190476186</v>
      </c>
      <c r="W121" s="315">
        <v>-64</v>
      </c>
      <c r="X121" s="316">
        <v>-81</v>
      </c>
      <c r="Y121" s="280">
        <f>8.7378263879015-((((AVERAGE(K121:N121)+AVERAGE(Q121+AVERAGE(S121:V121))))))</f>
        <v>2.9999999999999964</v>
      </c>
    </row>
    <row r="122" spans="1:25">
      <c r="A122">
        <v>106</v>
      </c>
      <c r="B122">
        <v>0</v>
      </c>
      <c r="C122" s="252" t="s">
        <v>392</v>
      </c>
      <c r="D122" s="253" t="s">
        <v>148</v>
      </c>
      <c r="E122" s="252" t="s">
        <v>109</v>
      </c>
      <c r="F122" s="252" t="s">
        <v>110</v>
      </c>
      <c r="G122" s="350">
        <v>2</v>
      </c>
      <c r="H122" s="351">
        <v>2</v>
      </c>
      <c r="I122">
        <v>0</v>
      </c>
      <c r="J122">
        <v>0</v>
      </c>
      <c r="K122" s="20">
        <v>0.29188217130853822</v>
      </c>
      <c r="L122" s="20">
        <v>3.8214285714285721</v>
      </c>
      <c r="M122" s="20">
        <v>0.59771794004140411</v>
      </c>
      <c r="N122" s="20">
        <v>1.4746805606532654</v>
      </c>
      <c r="O122" s="298">
        <v>-95</v>
      </c>
      <c r="P122" s="20">
        <v>0.29562036448400164</v>
      </c>
      <c r="Q122" s="20">
        <v>0.74091939088536041</v>
      </c>
      <c r="R122" s="312">
        <v>-9</v>
      </c>
      <c r="S122" s="20">
        <v>-0.63471580541291228</v>
      </c>
      <c r="T122" s="20">
        <v>2.5638594053378343</v>
      </c>
      <c r="U122" s="20">
        <v>4.7142857142857135</v>
      </c>
      <c r="V122" s="20">
        <v>4.7142857142857135</v>
      </c>
      <c r="W122" s="312">
        <v>-42</v>
      </c>
      <c r="X122" s="313">
        <v>-146</v>
      </c>
      <c r="Y122" s="236">
        <f>17.3177217945192-((((AVERAGE(K122:N122)+AVERAGE(Q122+AVERAGE(S122:V122))))))</f>
        <v>12.190946335651809</v>
      </c>
    </row>
    <row r="123" spans="1:25">
      <c r="A123">
        <v>107</v>
      </c>
      <c r="B123">
        <v>0</v>
      </c>
      <c r="C123" s="252" t="s">
        <v>496</v>
      </c>
      <c r="D123" s="253" t="s">
        <v>495</v>
      </c>
      <c r="E123" s="252" t="s">
        <v>107</v>
      </c>
      <c r="F123" s="252" t="s">
        <v>122</v>
      </c>
      <c r="G123" s="350">
        <v>4</v>
      </c>
      <c r="H123" s="351">
        <v>3</v>
      </c>
      <c r="I123">
        <v>0</v>
      </c>
      <c r="J123">
        <v>0</v>
      </c>
      <c r="K123" s="305">
        <v>-0.24940825722976978</v>
      </c>
      <c r="L123" s="305">
        <v>-0.49714285714285822</v>
      </c>
      <c r="M123" s="305">
        <v>-0.3502267535376713</v>
      </c>
      <c r="N123" s="305">
        <v>-0.5094176230792673</v>
      </c>
      <c r="O123" s="311">
        <v>5</v>
      </c>
      <c r="P123" s="305">
        <v>0.41097221633585157</v>
      </c>
      <c r="Q123" s="305">
        <v>0.24631556242508967</v>
      </c>
      <c r="R123" s="312">
        <v>-2</v>
      </c>
      <c r="S123" s="305">
        <v>-0.59180692341230445</v>
      </c>
      <c r="T123" s="305">
        <v>-0.50683467859106734</v>
      </c>
      <c r="U123" s="305">
        <v>-0.40476190476190421</v>
      </c>
      <c r="V123" s="305">
        <v>0</v>
      </c>
      <c r="W123" s="312">
        <v>6</v>
      </c>
      <c r="X123" s="313">
        <v>9</v>
      </c>
      <c r="Y123" s="236">
        <f>15.9950819158247-((((AVERAGE(K123:N123)+AVERAGE(Q123+AVERAGE(S123:V123))))))</f>
        <v>16.526166102838321</v>
      </c>
    </row>
    <row r="124" spans="1:25">
      <c r="A124">
        <v>110</v>
      </c>
      <c r="B124">
        <v>0</v>
      </c>
      <c r="C124" s="252" t="s">
        <v>500</v>
      </c>
      <c r="D124" s="253" t="s">
        <v>499</v>
      </c>
      <c r="E124" s="252" t="s">
        <v>119</v>
      </c>
      <c r="F124" s="252" t="s">
        <v>125</v>
      </c>
      <c r="G124" s="350">
        <v>4</v>
      </c>
      <c r="H124" s="351">
        <v>3</v>
      </c>
      <c r="I124">
        <v>0</v>
      </c>
      <c r="J124">
        <v>0</v>
      </c>
      <c r="K124" s="20">
        <v>0.44661507127013422</v>
      </c>
      <c r="L124" s="20">
        <v>-0.3269841269841276</v>
      </c>
      <c r="M124" s="20">
        <v>-0.36948574362084208</v>
      </c>
      <c r="N124" s="20">
        <v>-0.43247158018028653</v>
      </c>
      <c r="O124" s="311">
        <v>-7</v>
      </c>
      <c r="P124" s="20">
        <v>0.42504615502342791</v>
      </c>
      <c r="Q124" s="20">
        <v>6.7648674269405795E-2</v>
      </c>
      <c r="R124" s="312">
        <v>4</v>
      </c>
      <c r="S124" s="20">
        <v>-9.8218728359986684E-3</v>
      </c>
      <c r="T124" s="20">
        <v>-0.52084354251869325</v>
      </c>
      <c r="U124" s="20">
        <v>-0.87301587301587258</v>
      </c>
      <c r="V124" s="20">
        <v>-0.11904761904761862</v>
      </c>
      <c r="W124" s="312">
        <v>4</v>
      </c>
      <c r="X124" s="313">
        <v>1</v>
      </c>
      <c r="Y124" s="236">
        <f>15.3517189546385-((((AVERAGE(K124:N124)+AVERAGE(Q124+AVERAGE(S124:V124))))))</f>
        <v>15.83533410210242</v>
      </c>
    </row>
    <row r="125" spans="1:25">
      <c r="A125">
        <v>111</v>
      </c>
      <c r="B125">
        <v>0</v>
      </c>
      <c r="C125" s="1" t="s">
        <v>464</v>
      </c>
      <c r="D125" s="253" t="s">
        <v>463</v>
      </c>
      <c r="E125" s="252" t="s">
        <v>109</v>
      </c>
      <c r="F125" s="252" t="s">
        <v>110</v>
      </c>
      <c r="G125" s="350">
        <v>2</v>
      </c>
      <c r="H125" s="352">
        <v>2</v>
      </c>
      <c r="I125">
        <v>0</v>
      </c>
      <c r="J125">
        <v>0</v>
      </c>
      <c r="K125" s="305">
        <v>0.34996586905382987</v>
      </c>
      <c r="L125" s="305">
        <v>-4.4585714285714282</v>
      </c>
      <c r="M125" s="305">
        <v>0.60521207461504556</v>
      </c>
      <c r="N125" s="305">
        <v>-0.51897091193278477</v>
      </c>
      <c r="O125" s="311">
        <v>43</v>
      </c>
      <c r="P125" s="305">
        <v>0.26145369781733407</v>
      </c>
      <c r="Q125" s="305">
        <v>0.82194376317890416</v>
      </c>
      <c r="R125" s="312">
        <v>-14</v>
      </c>
      <c r="S125" s="305">
        <v>0.19654358006867567</v>
      </c>
      <c r="T125" s="305">
        <v>1.6515980859540313E-2</v>
      </c>
      <c r="U125" s="305">
        <v>-1.0952380952380949</v>
      </c>
      <c r="V125" s="305">
        <v>-0.71428571428571352</v>
      </c>
      <c r="W125" s="312">
        <v>8</v>
      </c>
      <c r="X125" s="313">
        <v>37</v>
      </c>
      <c r="Y125" s="236">
        <f>16.5729424528849-((((AVERAGE(K125:N125)+AVERAGE(Q125+AVERAGE(S125:V125))))))</f>
        <v>17.155705851063725</v>
      </c>
    </row>
    <row r="126" spans="1:25">
      <c r="A126">
        <v>112</v>
      </c>
      <c r="B126">
        <v>0</v>
      </c>
      <c r="C126" s="252" t="s">
        <v>610</v>
      </c>
      <c r="D126" s="253" t="s">
        <v>609</v>
      </c>
      <c r="E126" s="252" t="s">
        <v>119</v>
      </c>
      <c r="F126" s="252" t="s">
        <v>128</v>
      </c>
      <c r="G126" s="350">
        <v>3</v>
      </c>
      <c r="H126" s="351">
        <v>3</v>
      </c>
      <c r="I126">
        <v>0</v>
      </c>
      <c r="J126">
        <v>0</v>
      </c>
      <c r="K126" s="305">
        <v>0.15449180790547423</v>
      </c>
      <c r="L126" s="305">
        <v>-0.61428571428571477</v>
      </c>
      <c r="M126" s="305">
        <v>-0.44660570449684833</v>
      </c>
      <c r="N126" s="305">
        <v>-0.41741300617721677</v>
      </c>
      <c r="O126" s="311">
        <v>4</v>
      </c>
      <c r="P126" s="305">
        <v>0.45714277389277314</v>
      </c>
      <c r="Q126" s="305">
        <v>-7.1072845247242E-3</v>
      </c>
      <c r="R126" s="312">
        <v>7</v>
      </c>
      <c r="S126" s="305">
        <v>-0.89804258529815284</v>
      </c>
      <c r="T126" s="305">
        <v>-0.64971544254630054</v>
      </c>
      <c r="U126" s="305">
        <v>-1.0634920634920624</v>
      </c>
      <c r="V126" s="305">
        <v>-0.26785714285714413</v>
      </c>
      <c r="W126" s="312">
        <v>17</v>
      </c>
      <c r="X126" s="313">
        <v>28</v>
      </c>
      <c r="Y126" s="236">
        <f>19.0716786847519-((((AVERAGE(K126:N126)+AVERAGE(Q126+AVERAGE(S126:V126))))))</f>
        <v>20.129515932088616</v>
      </c>
    </row>
    <row r="127" spans="1:25">
      <c r="A127">
        <v>113</v>
      </c>
      <c r="B127">
        <v>0</v>
      </c>
      <c r="C127" s="252" t="s">
        <v>490</v>
      </c>
      <c r="D127" s="253" t="s">
        <v>489</v>
      </c>
      <c r="E127" s="252" t="s">
        <v>107</v>
      </c>
      <c r="F127" s="252" t="s">
        <v>108</v>
      </c>
      <c r="G127" s="350">
        <v>4</v>
      </c>
      <c r="H127" s="351">
        <v>3</v>
      </c>
      <c r="I127">
        <v>0</v>
      </c>
      <c r="J127">
        <v>0</v>
      </c>
      <c r="K127" s="20">
        <v>1.6188053612001676</v>
      </c>
      <c r="L127" s="20">
        <v>-0.47619047619047628</v>
      </c>
      <c r="M127" s="20">
        <v>-0.63853488716458395</v>
      </c>
      <c r="N127" s="20">
        <v>-0.13791106600741099</v>
      </c>
      <c r="O127" s="311">
        <v>-22</v>
      </c>
      <c r="P127" s="20">
        <v>0.35028501801229073</v>
      </c>
      <c r="Q127" s="20">
        <v>0.28282996109946534</v>
      </c>
      <c r="R127" s="312">
        <v>-1</v>
      </c>
      <c r="S127" s="20">
        <v>-0.59658965935440911</v>
      </c>
      <c r="T127" s="20">
        <v>1.0637347125592966</v>
      </c>
      <c r="U127" s="20">
        <v>-1.6825396825396828</v>
      </c>
      <c r="V127" s="20">
        <v>-0.14285714285714413</v>
      </c>
      <c r="W127" s="312">
        <v>6</v>
      </c>
      <c r="X127" s="313">
        <v>-17</v>
      </c>
      <c r="Y127" s="236">
        <f>16.7545316180465-((((AVERAGE(K127:N127)+AVERAGE(Q127+AVERAGE(S127:V127))))))</f>
        <v>16.719722367035594</v>
      </c>
    </row>
    <row r="128" spans="1:25">
      <c r="A128">
        <v>114</v>
      </c>
      <c r="B128">
        <v>0</v>
      </c>
      <c r="C128" s="252" t="s">
        <v>257</v>
      </c>
      <c r="D128" s="253" t="s">
        <v>256</v>
      </c>
      <c r="E128" s="252" t="s">
        <v>107</v>
      </c>
      <c r="F128" s="252" t="s">
        <v>122</v>
      </c>
      <c r="G128" s="350">
        <v>4</v>
      </c>
      <c r="H128" s="351">
        <v>3</v>
      </c>
      <c r="I128">
        <v>0</v>
      </c>
      <c r="J128">
        <v>0</v>
      </c>
      <c r="K128" s="305">
        <v>-0.69749948439573295</v>
      </c>
      <c r="L128" s="305">
        <v>-0.35738095238095235</v>
      </c>
      <c r="M128" s="305">
        <v>-0.46861841825891792</v>
      </c>
      <c r="N128" s="305">
        <v>-0.27624773773674072</v>
      </c>
      <c r="O128" s="311">
        <v>10</v>
      </c>
      <c r="P128" s="305">
        <v>0.40148737962374348</v>
      </c>
      <c r="Q128" s="305">
        <v>3.9760389292710308E-2</v>
      </c>
      <c r="R128" s="312">
        <v>4</v>
      </c>
      <c r="S128" s="305">
        <v>-0.25513426574926834</v>
      </c>
      <c r="T128" s="305">
        <v>0.16258796551098342</v>
      </c>
      <c r="U128" s="305">
        <v>0.66666666666666696</v>
      </c>
      <c r="V128" s="305">
        <v>0</v>
      </c>
      <c r="W128" s="312">
        <v>-17</v>
      </c>
      <c r="X128" s="313">
        <v>-3</v>
      </c>
      <c r="Y128" s="236">
        <f>14.5768228819662-((((AVERAGE(K128:N128)+AVERAGE(Q128+AVERAGE(S128:V128))))))</f>
        <v>14.843469049259479</v>
      </c>
    </row>
    <row r="129" spans="1:102">
      <c r="A129">
        <v>115</v>
      </c>
      <c r="B129">
        <v>0</v>
      </c>
      <c r="C129" s="252" t="s">
        <v>380</v>
      </c>
      <c r="D129" s="253" t="s">
        <v>379</v>
      </c>
      <c r="E129" s="252" t="s">
        <v>107</v>
      </c>
      <c r="F129" s="252" t="s">
        <v>133</v>
      </c>
      <c r="G129" s="350">
        <v>2</v>
      </c>
      <c r="H129" s="351">
        <v>2</v>
      </c>
      <c r="I129">
        <v>0</v>
      </c>
      <c r="J129">
        <v>0</v>
      </c>
      <c r="K129" s="305">
        <v>0.51104606437253519</v>
      </c>
      <c r="L129" s="305">
        <v>-0.16904761904761934</v>
      </c>
      <c r="M129" s="305">
        <v>-0.48731680035110969</v>
      </c>
      <c r="N129" s="305">
        <v>-0.16166428289480628</v>
      </c>
      <c r="O129" s="311">
        <v>-12</v>
      </c>
      <c r="P129" s="305">
        <v>0.48334754891572995</v>
      </c>
      <c r="Q129" s="305">
        <v>0.5459069554197189</v>
      </c>
      <c r="R129" s="312">
        <v>-14</v>
      </c>
      <c r="S129" s="305">
        <v>-1.0202008673518757</v>
      </c>
      <c r="T129" s="305">
        <v>-0.49585297694490382</v>
      </c>
      <c r="U129" s="305">
        <v>0.33333333333333304</v>
      </c>
      <c r="V129" s="305">
        <v>0</v>
      </c>
      <c r="W129" s="312">
        <v>3</v>
      </c>
      <c r="X129" s="313">
        <v>-23</v>
      </c>
      <c r="Y129" s="236">
        <f>19.2696588913686-((((AVERAGE(K129:N129)+AVERAGE(Q129+AVERAGE(S129:V129))))))</f>
        <v>19.096177723169994</v>
      </c>
    </row>
    <row r="130" spans="1:102">
      <c r="A130">
        <v>117</v>
      </c>
      <c r="B130">
        <v>0</v>
      </c>
      <c r="C130" s="252" t="s">
        <v>482</v>
      </c>
      <c r="D130" s="253" t="s">
        <v>481</v>
      </c>
      <c r="E130" s="252" t="s">
        <v>107</v>
      </c>
      <c r="F130" s="252" t="s">
        <v>108</v>
      </c>
      <c r="G130" s="350">
        <v>4</v>
      </c>
      <c r="H130" s="351">
        <v>3</v>
      </c>
      <c r="I130">
        <v>0</v>
      </c>
      <c r="J130">
        <v>0</v>
      </c>
      <c r="K130" s="20">
        <v>-0.8005431692916174</v>
      </c>
      <c r="L130" s="20">
        <v>0.19285714285714306</v>
      </c>
      <c r="M130" s="20">
        <v>-0.72506314793474225</v>
      </c>
      <c r="N130" s="20">
        <v>-0.40816539979284983</v>
      </c>
      <c r="O130" s="311">
        <v>15</v>
      </c>
      <c r="P130" s="20">
        <v>0.48009580655035133</v>
      </c>
      <c r="Q130" s="20">
        <v>0.27985837916350231</v>
      </c>
      <c r="R130" s="312">
        <v>-2</v>
      </c>
      <c r="S130" s="20">
        <v>5.3685316470091671E-2</v>
      </c>
      <c r="T130" s="20">
        <v>0.73343967415268185</v>
      </c>
      <c r="U130" s="20">
        <v>-0.47959183673469408</v>
      </c>
      <c r="V130" s="20">
        <v>0</v>
      </c>
      <c r="W130" s="312">
        <v>-22</v>
      </c>
      <c r="X130" s="313">
        <v>-9</v>
      </c>
      <c r="Y130" s="236">
        <f>16.8628840943551-((((AVERAGE(K130:N130)+AVERAGE(Q130+AVERAGE(S130:V130))))))</f>
        <v>16.941371070260093</v>
      </c>
    </row>
    <row r="131" spans="1:102">
      <c r="A131">
        <v>118</v>
      </c>
      <c r="B131">
        <v>0</v>
      </c>
      <c r="C131" s="252" t="s">
        <v>251</v>
      </c>
      <c r="D131" s="253" t="s">
        <v>250</v>
      </c>
      <c r="E131" s="252" t="s">
        <v>119</v>
      </c>
      <c r="F131" s="252" t="s">
        <v>125</v>
      </c>
      <c r="G131" s="350">
        <v>2</v>
      </c>
      <c r="H131" s="351">
        <v>2</v>
      </c>
      <c r="I131">
        <v>0</v>
      </c>
      <c r="J131">
        <v>0</v>
      </c>
      <c r="K131" s="20">
        <v>-0.83281056395297437</v>
      </c>
      <c r="L131" s="20">
        <v>1.7000000000000002</v>
      </c>
      <c r="M131" s="20">
        <v>-0.45247568134132132</v>
      </c>
      <c r="N131" s="20">
        <v>-4.1430997970893557E-2</v>
      </c>
      <c r="O131" s="311">
        <v>-14</v>
      </c>
      <c r="P131" s="20">
        <v>0.55908788938334375</v>
      </c>
      <c r="Q131" s="20">
        <v>0.31287910159534871</v>
      </c>
      <c r="R131" s="312">
        <v>2</v>
      </c>
      <c r="S131" s="20">
        <v>-0.62275174943811296</v>
      </c>
      <c r="T131" s="20">
        <v>0.87186166217340055</v>
      </c>
      <c r="U131" s="20">
        <v>0</v>
      </c>
      <c r="V131" s="20">
        <v>5.6666666666666679</v>
      </c>
      <c r="W131" s="312">
        <v>-10</v>
      </c>
      <c r="X131" s="313">
        <v>-22</v>
      </c>
      <c r="Y131" s="236">
        <f>15.3652389379278-((((AVERAGE(K131:N131)+AVERAGE(Q131+AVERAGE(S131:V131))))))</f>
        <v>13.48009500229826</v>
      </c>
    </row>
    <row r="132" spans="1:102">
      <c r="A132">
        <v>119</v>
      </c>
      <c r="B132">
        <v>0</v>
      </c>
      <c r="C132" s="252" t="s">
        <v>358</v>
      </c>
      <c r="D132" s="253" t="s">
        <v>357</v>
      </c>
      <c r="E132" s="252" t="s">
        <v>107</v>
      </c>
      <c r="F132" s="252" t="s">
        <v>108</v>
      </c>
      <c r="G132" s="350">
        <v>3</v>
      </c>
      <c r="H132" s="351">
        <v>3</v>
      </c>
      <c r="I132">
        <v>0</v>
      </c>
      <c r="J132">
        <v>0</v>
      </c>
      <c r="K132" s="20">
        <v>-0.87450614946147276</v>
      </c>
      <c r="L132" s="20">
        <v>0.18304473304473312</v>
      </c>
      <c r="M132" s="20">
        <v>-1.3833937857779066</v>
      </c>
      <c r="N132" s="20">
        <v>-0.31112209443004346</v>
      </c>
      <c r="O132" s="311">
        <v>25</v>
      </c>
      <c r="P132" s="20">
        <v>0.45525321395775986</v>
      </c>
      <c r="Q132" s="20">
        <v>0.2562348957333862</v>
      </c>
      <c r="R132" s="312">
        <v>-6</v>
      </c>
      <c r="S132" s="20">
        <v>-1.0764939000440918</v>
      </c>
      <c r="T132" s="20">
        <v>1.2669632283837524</v>
      </c>
      <c r="U132" s="20">
        <v>-0.96103896103895892</v>
      </c>
      <c r="V132" s="20">
        <v>0.26785714285714413</v>
      </c>
      <c r="W132" s="312">
        <v>-5</v>
      </c>
      <c r="X132" s="313">
        <v>14</v>
      </c>
      <c r="Y132" s="236">
        <f>18.3329949942695-((((AVERAGE(K132:N132)+AVERAGE(Q132+AVERAGE(S132:V132))))))</f>
        <v>18.798932545152827</v>
      </c>
    </row>
    <row r="133" spans="1:102">
      <c r="A133">
        <v>120</v>
      </c>
      <c r="B133">
        <v>0</v>
      </c>
      <c r="C133" s="252" t="s">
        <v>285</v>
      </c>
      <c r="D133" s="253" t="s">
        <v>284</v>
      </c>
      <c r="E133" s="252" t="s">
        <v>107</v>
      </c>
      <c r="F133" s="252" t="s">
        <v>122</v>
      </c>
      <c r="G133" s="350">
        <v>4</v>
      </c>
      <c r="H133" s="351">
        <v>4</v>
      </c>
      <c r="I133">
        <v>0</v>
      </c>
      <c r="J133">
        <v>0</v>
      </c>
      <c r="K133" s="20">
        <v>1.7534558515831273</v>
      </c>
      <c r="L133" s="20">
        <v>-0.5957142857142852</v>
      </c>
      <c r="M133" s="20">
        <v>-0.50335210746560666</v>
      </c>
      <c r="N133" s="20">
        <v>-0.21262724401961641</v>
      </c>
      <c r="O133" s="311">
        <v>-14</v>
      </c>
      <c r="P133" s="20">
        <v>0.44965069105978195</v>
      </c>
      <c r="Q133" s="20">
        <v>0.14293471639052857</v>
      </c>
      <c r="R133" s="312">
        <v>0</v>
      </c>
      <c r="S133" s="20">
        <v>-0.20896934672596412</v>
      </c>
      <c r="T133" s="20">
        <v>0.61200133637173204</v>
      </c>
      <c r="U133" s="20">
        <v>0</v>
      </c>
      <c r="V133" s="20">
        <v>0</v>
      </c>
      <c r="W133" s="312">
        <v>1</v>
      </c>
      <c r="X133" s="313">
        <v>-13</v>
      </c>
      <c r="Y133" s="236">
        <f>14.4797445029597-((((AVERAGE(K133:N133)+AVERAGE(Q133+AVERAGE(S133:V133))))))</f>
        <v>14.125611235561825</v>
      </c>
    </row>
    <row r="134" spans="1:102">
      <c r="A134">
        <v>121</v>
      </c>
      <c r="B134">
        <v>0</v>
      </c>
      <c r="C134" s="252" t="s">
        <v>313</v>
      </c>
      <c r="D134" s="253" t="s">
        <v>312</v>
      </c>
      <c r="E134" s="252" t="s">
        <v>107</v>
      </c>
      <c r="F134" s="252" t="s">
        <v>122</v>
      </c>
      <c r="G134" s="350">
        <v>4</v>
      </c>
      <c r="H134" s="351">
        <v>3</v>
      </c>
      <c r="I134">
        <v>0</v>
      </c>
      <c r="J134">
        <v>0</v>
      </c>
      <c r="K134" s="305">
        <v>-0.78048426994449205</v>
      </c>
      <c r="L134" s="305">
        <v>-8.9999999999999858E-2</v>
      </c>
      <c r="M134" s="305">
        <v>-0.7418882429244027</v>
      </c>
      <c r="N134" s="305">
        <v>-6.505918244800224E-2</v>
      </c>
      <c r="O134" s="311">
        <v>8</v>
      </c>
      <c r="P134" s="305">
        <v>0.6451908125544481</v>
      </c>
      <c r="Q134" s="305">
        <v>0.42321116646809376</v>
      </c>
      <c r="R134" s="312">
        <v>-6</v>
      </c>
      <c r="S134" s="305">
        <v>-0.48867622990175041</v>
      </c>
      <c r="T134" s="305">
        <v>0.27754381650803239</v>
      </c>
      <c r="U134" s="305">
        <v>0</v>
      </c>
      <c r="V134" s="305">
        <v>0</v>
      </c>
      <c r="W134" s="312">
        <v>6</v>
      </c>
      <c r="X134" s="313">
        <v>8</v>
      </c>
      <c r="Y134" s="236">
        <f>14.3250059454549-((((AVERAGE(K134:N134)+AVERAGE(Q134+AVERAGE(S134:V134))))))</f>
        <v>14.373935806164459</v>
      </c>
    </row>
    <row r="135" spans="1:102">
      <c r="A135">
        <v>122</v>
      </c>
      <c r="B135">
        <v>0</v>
      </c>
      <c r="C135" s="252" t="s">
        <v>438</v>
      </c>
      <c r="D135" s="253" t="s">
        <v>437</v>
      </c>
      <c r="E135" s="252" t="s">
        <v>115</v>
      </c>
      <c r="F135" s="252" t="s">
        <v>124</v>
      </c>
      <c r="G135" s="350">
        <v>3</v>
      </c>
      <c r="H135" s="351">
        <v>3</v>
      </c>
      <c r="I135">
        <v>0</v>
      </c>
      <c r="J135">
        <v>0</v>
      </c>
      <c r="K135" s="20">
        <v>-0.43887571479858867</v>
      </c>
      <c r="L135" s="20">
        <v>-0.48611111111111072</v>
      </c>
      <c r="M135" s="20">
        <v>-0.51041267688229586</v>
      </c>
      <c r="N135" s="20">
        <v>-0.21865872118214202</v>
      </c>
      <c r="O135" s="311">
        <v>13</v>
      </c>
      <c r="P135" s="20">
        <v>0.46431534458807189</v>
      </c>
      <c r="Q135" s="20">
        <v>0.11457871207858705</v>
      </c>
      <c r="R135" s="312">
        <v>3</v>
      </c>
      <c r="S135" s="20">
        <v>-0.40754974149700685</v>
      </c>
      <c r="T135" s="20">
        <v>0.18548655770162092</v>
      </c>
      <c r="U135" s="20">
        <v>1.1349206349206344</v>
      </c>
      <c r="V135" s="20">
        <v>0.21428571428571441</v>
      </c>
      <c r="W135" s="312">
        <v>-26</v>
      </c>
      <c r="X135" s="313">
        <v>-10</v>
      </c>
      <c r="Y135" s="236">
        <f>17.2321469842391-((((AVERAGE(K135:N135)+AVERAGE(Q135+AVERAGE(S135:V135))))))</f>
        <v>17.249297036801309</v>
      </c>
    </row>
    <row r="136" spans="1:102" s="263" customFormat="1">
      <c r="A136">
        <v>126</v>
      </c>
      <c r="B136">
        <v>0</v>
      </c>
      <c r="C136" s="252" t="s">
        <v>394</v>
      </c>
      <c r="D136" s="253" t="s">
        <v>393</v>
      </c>
      <c r="E136" s="252" t="s">
        <v>106</v>
      </c>
      <c r="F136" s="252" t="s">
        <v>106</v>
      </c>
      <c r="G136" s="350">
        <v>4</v>
      </c>
      <c r="H136" s="351">
        <v>3</v>
      </c>
      <c r="I136">
        <v>0</v>
      </c>
      <c r="J136">
        <v>0</v>
      </c>
      <c r="K136" s="20">
        <v>-1.9019694109248757</v>
      </c>
      <c r="L136" s="20">
        <v>0.89172077922077886</v>
      </c>
      <c r="M136" s="20">
        <v>1.337709992779919</v>
      </c>
      <c r="N136" s="20">
        <v>1.1004163106647011</v>
      </c>
      <c r="O136" s="311">
        <v>-20</v>
      </c>
      <c r="P136" s="20">
        <v>0.95418892891620288</v>
      </c>
      <c r="Q136" s="20">
        <v>1.7582570060713376</v>
      </c>
      <c r="R136" s="312">
        <v>6</v>
      </c>
      <c r="S136" s="20">
        <v>-2.4489740797318191</v>
      </c>
      <c r="T136" s="20">
        <v>-0.49315973282614678</v>
      </c>
      <c r="U136" s="20">
        <v>-1.3739177489177488</v>
      </c>
      <c r="V136" s="20">
        <v>-1.9642857142857144</v>
      </c>
      <c r="W136" s="312">
        <v>-2</v>
      </c>
      <c r="X136" s="313">
        <v>-16</v>
      </c>
      <c r="Y136" s="236">
        <f>19.0333405095033-((((AVERAGE(K136:N136)+AVERAGE(Q136+AVERAGE(S136:V136))))))</f>
        <v>18.488198404437188</v>
      </c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</row>
    <row r="137" spans="1:102">
      <c r="A137">
        <v>132</v>
      </c>
      <c r="B137">
        <v>0</v>
      </c>
      <c r="C137" s="252" t="s">
        <v>620</v>
      </c>
      <c r="D137" s="253" t="s">
        <v>619</v>
      </c>
      <c r="E137" s="252" t="s">
        <v>113</v>
      </c>
      <c r="F137" s="252" t="s">
        <v>114</v>
      </c>
      <c r="G137" s="350">
        <v>3</v>
      </c>
      <c r="H137" s="351">
        <v>2</v>
      </c>
      <c r="I137">
        <v>0</v>
      </c>
      <c r="J137">
        <v>0</v>
      </c>
      <c r="K137" s="305">
        <v>1.1347285546972428</v>
      </c>
      <c r="L137" s="305">
        <v>-1.2178571428571425</v>
      </c>
      <c r="M137" s="305">
        <v>0.34075492032802934</v>
      </c>
      <c r="N137" s="305">
        <v>-0.31101789301247784</v>
      </c>
      <c r="O137" s="311">
        <v>5</v>
      </c>
      <c r="P137" s="305">
        <v>-0.51820927809564132</v>
      </c>
      <c r="Q137" s="305">
        <v>7.2423501904778753E-2</v>
      </c>
      <c r="R137" s="312">
        <v>-2</v>
      </c>
      <c r="S137" s="305">
        <v>0.42870124242802454</v>
      </c>
      <c r="T137" s="305">
        <v>-0.38544496763825187</v>
      </c>
      <c r="U137" s="305">
        <v>-2.7976190476190483</v>
      </c>
      <c r="V137" s="305">
        <v>0.35714285714285765</v>
      </c>
      <c r="W137" s="312">
        <v>32</v>
      </c>
      <c r="X137" s="313">
        <v>35</v>
      </c>
      <c r="Y137" s="236">
        <f>19.1796410220515-((((AVERAGE(K137:N137)+AVERAGE(Q137+AVERAGE(S137:V137))))))</f>
        <v>19.719870389279411</v>
      </c>
    </row>
    <row r="138" spans="1:102" s="263" customFormat="1">
      <c r="A138">
        <v>135</v>
      </c>
      <c r="B138">
        <v>0</v>
      </c>
      <c r="C138" s="252" t="s">
        <v>488</v>
      </c>
      <c r="D138" s="253" t="s">
        <v>487</v>
      </c>
      <c r="E138" s="252" t="s">
        <v>106</v>
      </c>
      <c r="F138" s="252" t="s">
        <v>106</v>
      </c>
      <c r="G138" s="350">
        <v>3</v>
      </c>
      <c r="H138" s="351">
        <v>3</v>
      </c>
      <c r="I138">
        <v>0</v>
      </c>
      <c r="J138">
        <v>0</v>
      </c>
      <c r="K138" s="20">
        <v>0.53558379660246036</v>
      </c>
      <c r="L138" s="20">
        <v>2.7157344419249196</v>
      </c>
      <c r="M138" s="20">
        <v>0.63020151014239079</v>
      </c>
      <c r="N138" s="20">
        <v>1.2516656491629368</v>
      </c>
      <c r="O138" s="311">
        <v>-1</v>
      </c>
      <c r="P138" s="20">
        <v>-0.21868050552141405</v>
      </c>
      <c r="Q138" s="20">
        <v>1.3661733003605665</v>
      </c>
      <c r="R138" s="312">
        <v>11</v>
      </c>
      <c r="S138" s="20">
        <v>0.17705935942931506</v>
      </c>
      <c r="T138" s="20">
        <v>-0.46983538159168869</v>
      </c>
      <c r="U138" s="20">
        <v>0.46583522297807978</v>
      </c>
      <c r="V138" s="20">
        <v>0.33824640967498176</v>
      </c>
      <c r="W138" s="312">
        <v>3</v>
      </c>
      <c r="X138" s="313">
        <v>13</v>
      </c>
      <c r="Y138" s="236">
        <f>20.2963852052193-((((AVERAGE(K138:N138)+AVERAGE(Q138+AVERAGE(S138:V138))))))</f>
        <v>17.519089152777884</v>
      </c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</row>
    <row r="139" spans="1:102">
      <c r="A139">
        <v>136</v>
      </c>
      <c r="B139">
        <v>0</v>
      </c>
      <c r="C139" s="252" t="s">
        <v>634</v>
      </c>
      <c r="D139" s="253" t="s">
        <v>633</v>
      </c>
      <c r="E139" s="252" t="s">
        <v>115</v>
      </c>
      <c r="F139" s="252" t="s">
        <v>124</v>
      </c>
      <c r="G139" s="350">
        <v>2</v>
      </c>
      <c r="H139" s="351">
        <v>2</v>
      </c>
      <c r="I139">
        <v>0</v>
      </c>
      <c r="J139">
        <v>0</v>
      </c>
      <c r="K139" s="305">
        <v>-0.71763104171428971</v>
      </c>
      <c r="L139" s="305">
        <v>-1.345079365079366</v>
      </c>
      <c r="M139" s="305">
        <v>-0.84269314965553965</v>
      </c>
      <c r="N139" s="305">
        <v>4.1652566004456659E-2</v>
      </c>
      <c r="O139" s="311">
        <v>-2</v>
      </c>
      <c r="P139" s="305">
        <v>-0.99763982482164248</v>
      </c>
      <c r="Q139" s="305">
        <v>-0.58911528017337389</v>
      </c>
      <c r="R139" s="312">
        <v>2</v>
      </c>
      <c r="S139" s="305">
        <v>-0.58617669857608012</v>
      </c>
      <c r="T139" s="305">
        <v>-0.33990814813154557</v>
      </c>
      <c r="U139" s="305">
        <v>3.5714285714285712</v>
      </c>
      <c r="V139" s="305">
        <v>2.8571428571428577</v>
      </c>
      <c r="W139" s="312">
        <v>-40</v>
      </c>
      <c r="X139" s="313">
        <v>-40</v>
      </c>
      <c r="Y139" s="236">
        <f>18.7843426608631-((((AVERAGE(K139:N139)+AVERAGE(Q139+AVERAGE(S139:V139))))))</f>
        <v>18.713774043181708</v>
      </c>
    </row>
    <row r="140" spans="1:102">
      <c r="A140">
        <v>137</v>
      </c>
      <c r="B140">
        <v>0</v>
      </c>
      <c r="C140" s="252" t="s">
        <v>624</v>
      </c>
      <c r="D140" s="253" t="s">
        <v>623</v>
      </c>
      <c r="E140" s="252" t="s">
        <v>115</v>
      </c>
      <c r="F140" s="252" t="s">
        <v>116</v>
      </c>
      <c r="G140" s="350">
        <v>2</v>
      </c>
      <c r="H140" s="351">
        <v>3</v>
      </c>
      <c r="I140">
        <v>0</v>
      </c>
      <c r="J140">
        <v>0</v>
      </c>
      <c r="K140" s="20">
        <v>-1.3661340014765102</v>
      </c>
      <c r="L140" s="20">
        <v>-1.8310846560846565</v>
      </c>
      <c r="M140" s="20">
        <v>1.5194917439951521</v>
      </c>
      <c r="N140" s="20">
        <v>0.49909655911305517</v>
      </c>
      <c r="O140" s="311">
        <v>-2</v>
      </c>
      <c r="P140" s="20">
        <v>1.5335642026323839</v>
      </c>
      <c r="Q140" s="20">
        <v>-6.4638872917356052</v>
      </c>
      <c r="R140" s="312">
        <v>-1</v>
      </c>
      <c r="S140" s="20">
        <v>-2.1247315403452385</v>
      </c>
      <c r="T140" s="20">
        <v>-0.39694977121718011</v>
      </c>
      <c r="U140" s="20">
        <v>-2.0317460317460325</v>
      </c>
      <c r="V140" s="20">
        <v>-1.6137566137566148</v>
      </c>
      <c r="W140" s="312">
        <v>-1</v>
      </c>
      <c r="X140" s="313">
        <v>-4</v>
      </c>
      <c r="Y140" s="236">
        <f>12.3258371933696-((((AVERAGE(K140:N140)+AVERAGE(Q140+AVERAGE(S140:V140))))))</f>
        <v>20.626178062984714</v>
      </c>
    </row>
    <row r="141" spans="1:102">
      <c r="A141">
        <v>138</v>
      </c>
      <c r="B141">
        <v>0</v>
      </c>
      <c r="C141" s="252" t="s">
        <v>398</v>
      </c>
      <c r="D141" s="253" t="s">
        <v>397</v>
      </c>
      <c r="E141" s="252" t="s">
        <v>119</v>
      </c>
      <c r="F141" s="252" t="s">
        <v>125</v>
      </c>
      <c r="G141" s="350">
        <v>3</v>
      </c>
      <c r="H141" s="351">
        <v>3</v>
      </c>
      <c r="I141">
        <v>0</v>
      </c>
      <c r="J141">
        <v>0</v>
      </c>
      <c r="K141" s="305">
        <v>-1.117533759082983</v>
      </c>
      <c r="L141" s="305">
        <v>-1.1161111111111106</v>
      </c>
      <c r="M141" s="305">
        <v>-0.73295050693037611</v>
      </c>
      <c r="N141" s="305">
        <v>-2.0039228577889698</v>
      </c>
      <c r="O141" s="311">
        <v>12</v>
      </c>
      <c r="P141" s="305">
        <v>1.5052416649007556</v>
      </c>
      <c r="Q141" s="305">
        <v>-8.7873451492170851E-2</v>
      </c>
      <c r="R141" s="312">
        <v>1</v>
      </c>
      <c r="S141" s="305">
        <v>-1.4867289979592733</v>
      </c>
      <c r="T141" s="305">
        <v>-1.094534145276687</v>
      </c>
      <c r="U141" s="305">
        <v>-2.4841269841269833</v>
      </c>
      <c r="V141" s="305">
        <v>7.1428571428571175E-2</v>
      </c>
      <c r="W141" s="312">
        <v>-3</v>
      </c>
      <c r="X141" s="313">
        <v>10</v>
      </c>
      <c r="Y141" s="236">
        <f>16.7757260603314-((((AVERAGE(K141:N141)+AVERAGE(Q141+AVERAGE(S141:V141))))))</f>
        <v>19.354719459535524</v>
      </c>
    </row>
    <row r="142" spans="1:102">
      <c r="A142">
        <v>139</v>
      </c>
      <c r="B142">
        <v>0</v>
      </c>
      <c r="C142" s="252" t="s">
        <v>486</v>
      </c>
      <c r="D142" s="253" t="s">
        <v>485</v>
      </c>
      <c r="E142" s="252" t="s">
        <v>119</v>
      </c>
      <c r="F142" s="252" t="s">
        <v>136</v>
      </c>
      <c r="G142" s="350"/>
      <c r="H142" s="351">
        <v>3</v>
      </c>
      <c r="I142">
        <v>0</v>
      </c>
      <c r="J142">
        <v>0</v>
      </c>
      <c r="K142" s="305">
        <v>0.66627038145402562</v>
      </c>
      <c r="L142" s="305">
        <v>2.1988095238095235</v>
      </c>
      <c r="M142" s="305">
        <v>-0.44269701471336997</v>
      </c>
      <c r="N142" s="305">
        <v>-2.2298453844646202</v>
      </c>
      <c r="O142" s="311">
        <v>11</v>
      </c>
      <c r="P142" s="305">
        <v>0.30421007275552636</v>
      </c>
      <c r="Q142" s="305">
        <v>6.6062717770034851</v>
      </c>
      <c r="R142" s="312">
        <v>8</v>
      </c>
      <c r="S142" s="305">
        <v>2.6555490546870644</v>
      </c>
      <c r="T142" s="305">
        <v>-0.5454439978685599</v>
      </c>
      <c r="U142" s="305">
        <v>-1.6809523809523794</v>
      </c>
      <c r="V142" s="305">
        <v>2.5</v>
      </c>
      <c r="W142" s="312">
        <v>-44</v>
      </c>
      <c r="X142" s="313">
        <v>-25</v>
      </c>
      <c r="Y142" s="236">
        <f>19.133258023724-((((AVERAGE(K142:N142)+AVERAGE(Q142+AVERAGE(S142:V142))))))</f>
        <v>11.746563701232594</v>
      </c>
    </row>
    <row r="143" spans="1:102">
      <c r="A143">
        <v>140</v>
      </c>
      <c r="B143">
        <v>0</v>
      </c>
      <c r="C143" s="252" t="s">
        <v>504</v>
      </c>
      <c r="D143" s="253" t="s">
        <v>503</v>
      </c>
      <c r="E143" s="252" t="s">
        <v>119</v>
      </c>
      <c r="F143" s="252" t="s">
        <v>136</v>
      </c>
      <c r="G143" s="350">
        <v>4</v>
      </c>
      <c r="H143" s="351">
        <v>3</v>
      </c>
      <c r="I143">
        <v>0</v>
      </c>
      <c r="J143">
        <v>0</v>
      </c>
      <c r="K143" s="20">
        <v>0.28230485206071165</v>
      </c>
      <c r="L143" s="20">
        <v>-3.7857142857142856</v>
      </c>
      <c r="M143" s="20">
        <v>6.074679345610777</v>
      </c>
      <c r="N143" s="20">
        <v>-0.57647686790417918</v>
      </c>
      <c r="O143" s="311">
        <v>-13</v>
      </c>
      <c r="P143" s="20">
        <v>0.62348349461985819</v>
      </c>
      <c r="Q143" s="20">
        <v>-5.3779993442757714</v>
      </c>
      <c r="R143" s="312">
        <v>22</v>
      </c>
      <c r="S143" s="20">
        <v>-2.251905911727401</v>
      </c>
      <c r="T143" s="20">
        <v>-0.23575729975927828</v>
      </c>
      <c r="U143" s="20">
        <v>-3.8095238095238102</v>
      </c>
      <c r="V143" s="20">
        <v>-3.4285714285714284</v>
      </c>
      <c r="W143" s="312">
        <v>-46</v>
      </c>
      <c r="X143" s="313">
        <v>-37</v>
      </c>
      <c r="Y143" s="236">
        <f>8.71733125554972-((((AVERAGE(K143:N143)+AVERAGE(Q143+AVERAGE(S143:V143))))))</f>
        <v>16.028071951207714</v>
      </c>
    </row>
    <row r="144" spans="1:102">
      <c r="A144">
        <v>141</v>
      </c>
      <c r="B144">
        <v>0</v>
      </c>
      <c r="C144" s="252" t="s">
        <v>608</v>
      </c>
      <c r="D144" s="253" t="s">
        <v>607</v>
      </c>
      <c r="E144" s="252" t="s">
        <v>111</v>
      </c>
      <c r="F144" s="252" t="s">
        <v>110</v>
      </c>
      <c r="G144" s="350">
        <v>1</v>
      </c>
      <c r="H144" s="351">
        <v>2</v>
      </c>
      <c r="I144">
        <v>1</v>
      </c>
      <c r="J144">
        <v>0</v>
      </c>
      <c r="K144" s="20">
        <v>-0.14608545171143383</v>
      </c>
      <c r="L144" s="20">
        <v>-2.95</v>
      </c>
      <c r="M144" s="20">
        <v>-1.3630684421723811</v>
      </c>
      <c r="N144" s="20">
        <v>-0.43353500525637756</v>
      </c>
      <c r="O144" s="311">
        <v>-3</v>
      </c>
      <c r="P144" s="20">
        <v>0.44503703703703756</v>
      </c>
      <c r="Q144" s="20">
        <v>0.37334483843397237</v>
      </c>
      <c r="R144" s="312">
        <v>-31</v>
      </c>
      <c r="S144" s="20">
        <v>-1.2869044395993052</v>
      </c>
      <c r="T144" s="20">
        <v>-0.54148062903016125</v>
      </c>
      <c r="U144" s="20">
        <v>-3</v>
      </c>
      <c r="V144" s="20">
        <v>-1.4285714285714297</v>
      </c>
      <c r="W144" s="312">
        <v>9</v>
      </c>
      <c r="X144" s="313">
        <v>-25</v>
      </c>
      <c r="Y144" s="236">
        <f>17.2613569055087-((((AVERAGE(K144:N144)+AVERAGE(Q144+AVERAGE(S144:V144))))))</f>
        <v>19.675423416159997</v>
      </c>
    </row>
    <row r="145" spans="1:25">
      <c r="A145">
        <v>142</v>
      </c>
      <c r="B145">
        <v>0</v>
      </c>
      <c r="C145" s="252" t="s">
        <v>404</v>
      </c>
      <c r="D145" s="253" t="s">
        <v>153</v>
      </c>
      <c r="E145" s="252" t="s">
        <v>119</v>
      </c>
      <c r="F145" s="252" t="s">
        <v>128</v>
      </c>
      <c r="G145" s="350"/>
      <c r="H145" s="351">
        <v>4</v>
      </c>
      <c r="I145">
        <v>0</v>
      </c>
      <c r="J145">
        <v>0</v>
      </c>
      <c r="K145" s="305">
        <v>-1.3363877928343921</v>
      </c>
      <c r="L145" s="305">
        <v>5.6456349206349206</v>
      </c>
      <c r="M145" s="305">
        <v>-5.8313378365822821</v>
      </c>
      <c r="N145" s="305">
        <v>1.3538264692094923</v>
      </c>
      <c r="O145" s="311">
        <v>39</v>
      </c>
      <c r="P145" s="305">
        <v>1.1568893421393422</v>
      </c>
      <c r="Q145" s="305">
        <v>7.0124804239033764</v>
      </c>
      <c r="R145" s="312">
        <v>3</v>
      </c>
      <c r="S145" s="305">
        <v>-1.7558817680000081</v>
      </c>
      <c r="T145" s="305">
        <v>-0.2646926420321094</v>
      </c>
      <c r="U145" s="305">
        <v>1.6706349206349209</v>
      </c>
      <c r="V145" s="305">
        <v>2.1428571428571419</v>
      </c>
      <c r="W145" s="312">
        <v>16</v>
      </c>
      <c r="X145" s="313">
        <v>58</v>
      </c>
      <c r="Y145" s="236">
        <f>18.0955228647748-((((AVERAGE(K145:N145)+AVERAGE(Q145+AVERAGE(S145:V145))))))</f>
        <v>10.676879087399502</v>
      </c>
    </row>
    <row r="146" spans="1:25">
      <c r="A146">
        <v>145</v>
      </c>
      <c r="B146">
        <v>0</v>
      </c>
      <c r="C146" s="252" t="s">
        <v>462</v>
      </c>
      <c r="D146" s="253" t="s">
        <v>461</v>
      </c>
      <c r="E146" s="252" t="s">
        <v>115</v>
      </c>
      <c r="F146" s="252" t="s">
        <v>116</v>
      </c>
      <c r="G146" s="350">
        <v>3</v>
      </c>
      <c r="H146" s="351">
        <v>3</v>
      </c>
      <c r="I146">
        <v>0</v>
      </c>
      <c r="J146">
        <v>0</v>
      </c>
      <c r="K146" s="20">
        <v>-0.17296107059435961</v>
      </c>
      <c r="L146" s="20">
        <v>0.91666666666666696</v>
      </c>
      <c r="M146" s="20">
        <v>2.1757045822952232</v>
      </c>
      <c r="N146" s="20">
        <v>-0.23244608946014722</v>
      </c>
      <c r="O146" s="311">
        <v>5</v>
      </c>
      <c r="P146" s="20">
        <v>1.0505255527300985</v>
      </c>
      <c r="Q146" s="20">
        <v>0.60890888927848597</v>
      </c>
      <c r="R146" s="312">
        <v>-16</v>
      </c>
      <c r="S146" s="20">
        <v>-0.31733510597826076</v>
      </c>
      <c r="T146" s="20">
        <v>-0.90304026718315367</v>
      </c>
      <c r="U146" s="20">
        <v>3.6476190476190471</v>
      </c>
      <c r="V146" s="20">
        <v>3.0000000000000018</v>
      </c>
      <c r="W146" s="312">
        <v>0</v>
      </c>
      <c r="X146" s="313">
        <v>-11</v>
      </c>
      <c r="Y146" s="236">
        <f>19.5496959429581-((((AVERAGE(K146:N146)+AVERAGE(Q146+AVERAGE(S146:V146))))))</f>
        <v>16.91223511283836</v>
      </c>
    </row>
    <row r="147" spans="1:25">
      <c r="A147">
        <v>147</v>
      </c>
      <c r="B147">
        <v>0</v>
      </c>
      <c r="C147" s="252" t="s">
        <v>374</v>
      </c>
      <c r="D147" s="253" t="s">
        <v>373</v>
      </c>
      <c r="E147" s="252" t="s">
        <v>113</v>
      </c>
      <c r="F147" s="252" t="s">
        <v>114</v>
      </c>
      <c r="G147" s="350">
        <v>1</v>
      </c>
      <c r="H147" s="351">
        <v>2</v>
      </c>
      <c r="I147">
        <v>0</v>
      </c>
      <c r="J147">
        <v>0</v>
      </c>
      <c r="K147" s="305">
        <v>-0.17053149633162601</v>
      </c>
      <c r="L147" s="305">
        <v>-2.8461904761904755</v>
      </c>
      <c r="M147" s="305">
        <v>4.086402609686373</v>
      </c>
      <c r="N147" s="305">
        <v>0.95956468588691735</v>
      </c>
      <c r="O147" s="311">
        <v>-8</v>
      </c>
      <c r="P147" s="305">
        <v>0.22749999411363042</v>
      </c>
      <c r="Q147" s="305">
        <v>-1.3272640544105556</v>
      </c>
      <c r="R147" s="312">
        <v>-11</v>
      </c>
      <c r="S147" s="305">
        <v>0.69516284372274573</v>
      </c>
      <c r="T147" s="305">
        <v>-0.29783953490174975</v>
      </c>
      <c r="U147" s="305">
        <v>-0.38095238095238315</v>
      </c>
      <c r="V147" s="305">
        <v>3.5714285714285712</v>
      </c>
      <c r="W147" s="312">
        <v>11</v>
      </c>
      <c r="X147" s="313">
        <v>-8</v>
      </c>
      <c r="Y147" s="236">
        <f>18.1634987871685-((((AVERAGE(K147:N147)+AVERAGE(Q147+AVERAGE(S147:V147))))))</f>
        <v>18.086501635991961</v>
      </c>
    </row>
    <row r="148" spans="1:25">
      <c r="A148">
        <v>148</v>
      </c>
      <c r="B148">
        <v>0</v>
      </c>
      <c r="C148" s="252" t="s">
        <v>154</v>
      </c>
      <c r="D148" s="253" t="s">
        <v>599</v>
      </c>
      <c r="E148" s="252" t="s">
        <v>111</v>
      </c>
      <c r="F148" s="252" t="s">
        <v>110</v>
      </c>
      <c r="G148" s="350">
        <v>2</v>
      </c>
      <c r="H148" s="351">
        <v>2</v>
      </c>
      <c r="I148">
        <v>0</v>
      </c>
      <c r="J148">
        <v>0</v>
      </c>
      <c r="K148" s="20">
        <v>-0.55575844777345207</v>
      </c>
      <c r="L148" s="20">
        <v>-0.9555555555555566</v>
      </c>
      <c r="M148" s="20">
        <v>-2.3783464965197076</v>
      </c>
      <c r="N148" s="20">
        <v>-1.6414739499837747</v>
      </c>
      <c r="O148" s="311">
        <v>-3</v>
      </c>
      <c r="P148" s="20">
        <v>2.6037638506274874</v>
      </c>
      <c r="Q148" s="20">
        <v>-0.14235337162453199</v>
      </c>
      <c r="R148" s="312">
        <v>0</v>
      </c>
      <c r="S148" s="20">
        <v>-1.5258752323329445</v>
      </c>
      <c r="T148" s="20">
        <v>-9.2501743064565822E-2</v>
      </c>
      <c r="U148" s="20">
        <v>-0.70476190476190315</v>
      </c>
      <c r="V148" s="20">
        <v>0.66666666666666607</v>
      </c>
      <c r="W148" s="312">
        <v>-3</v>
      </c>
      <c r="X148" s="313">
        <v>-6</v>
      </c>
      <c r="Y148" s="236">
        <f>18.1480240094594-((((AVERAGE(K148:N148)+AVERAGE(Q148+AVERAGE(S148:V148))))))</f>
        <v>20.087279046915242</v>
      </c>
    </row>
    <row r="149" spans="1:25">
      <c r="A149">
        <v>149</v>
      </c>
      <c r="B149">
        <v>0</v>
      </c>
      <c r="C149" s="252" t="s">
        <v>626</v>
      </c>
      <c r="D149" s="253" t="s">
        <v>155</v>
      </c>
      <c r="E149" s="252" t="s">
        <v>109</v>
      </c>
      <c r="F149" s="252" t="s">
        <v>117</v>
      </c>
      <c r="G149" s="350">
        <v>2</v>
      </c>
      <c r="H149" s="351">
        <v>2</v>
      </c>
      <c r="I149">
        <v>0</v>
      </c>
      <c r="J149">
        <v>0</v>
      </c>
      <c r="K149" s="305">
        <v>-1.1743744748785439</v>
      </c>
      <c r="L149" s="305">
        <v>0.93428571428571505</v>
      </c>
      <c r="M149" s="305">
        <v>-3.2265522945699674</v>
      </c>
      <c r="N149" s="305">
        <v>-1.3105534329917292</v>
      </c>
      <c r="O149" s="311">
        <v>3</v>
      </c>
      <c r="P149" s="305">
        <v>0.486490734854371</v>
      </c>
      <c r="Q149" s="305">
        <v>1.6198801582766222</v>
      </c>
      <c r="R149" s="312">
        <v>4</v>
      </c>
      <c r="S149" s="305">
        <v>0.16758646126147303</v>
      </c>
      <c r="T149" s="305">
        <v>-0.26162889167970516</v>
      </c>
      <c r="U149" s="305">
        <v>-2.5714285714285721</v>
      </c>
      <c r="V149" s="305">
        <v>-3.0952380952380949</v>
      </c>
      <c r="W149" s="312">
        <v>0</v>
      </c>
      <c r="X149" s="313">
        <v>7</v>
      </c>
      <c r="Y149" s="236">
        <f>18.6150866671666-((((AVERAGE(K149:N149)+AVERAGE(Q149+AVERAGE(S149:V149))))))</f>
        <v>19.629682405199834</v>
      </c>
    </row>
    <row r="150" spans="1:25">
      <c r="A150">
        <v>150</v>
      </c>
      <c r="B150">
        <v>0</v>
      </c>
      <c r="C150" s="252" t="s">
        <v>648</v>
      </c>
      <c r="D150" s="253" t="s">
        <v>647</v>
      </c>
      <c r="E150" s="252" t="s">
        <v>107</v>
      </c>
      <c r="F150" s="252" t="s">
        <v>121</v>
      </c>
      <c r="G150" s="350">
        <v>4</v>
      </c>
      <c r="H150" s="351">
        <v>3</v>
      </c>
      <c r="I150">
        <v>0</v>
      </c>
      <c r="J150">
        <v>0</v>
      </c>
      <c r="K150" s="20">
        <v>0.24437478989841033</v>
      </c>
      <c r="L150" s="20">
        <v>-2.1497619047619052</v>
      </c>
      <c r="M150" s="20">
        <v>-0.99018927690528136</v>
      </c>
      <c r="N150" s="20">
        <v>-0.14846327868776221</v>
      </c>
      <c r="O150" s="311">
        <v>-22</v>
      </c>
      <c r="P150" s="20">
        <v>-2.5427158119658113</v>
      </c>
      <c r="Q150" s="20">
        <v>-5.4205193456738767</v>
      </c>
      <c r="R150" s="312">
        <v>0</v>
      </c>
      <c r="S150" s="20">
        <v>-0.1817062252981545</v>
      </c>
      <c r="T150" s="20">
        <v>-0.18648872074414324</v>
      </c>
      <c r="U150" s="20">
        <v>-4.9047619047619069</v>
      </c>
      <c r="V150" s="20">
        <v>-4.0476190476190492</v>
      </c>
      <c r="W150" s="312">
        <v>6</v>
      </c>
      <c r="X150" s="313">
        <v>-16</v>
      </c>
      <c r="Y150" s="236">
        <f>9.02122583397854-((((AVERAGE(K150:N150)+AVERAGE(Q150+AVERAGE(S150:V150))))))</f>
        <v>17.532899071872365</v>
      </c>
    </row>
    <row r="151" spans="1:25">
      <c r="A151">
        <v>151</v>
      </c>
      <c r="B151">
        <v>0</v>
      </c>
      <c r="C151" s="252" t="s">
        <v>368</v>
      </c>
      <c r="D151" s="253" t="s">
        <v>367</v>
      </c>
      <c r="E151" s="252" t="s">
        <v>113</v>
      </c>
      <c r="F151" s="252" t="s">
        <v>114</v>
      </c>
      <c r="G151" s="350">
        <v>2</v>
      </c>
      <c r="H151" s="351">
        <v>2</v>
      </c>
      <c r="I151">
        <v>0</v>
      </c>
      <c r="J151">
        <v>0</v>
      </c>
      <c r="K151" s="20">
        <v>-1.9127523292283222</v>
      </c>
      <c r="L151" s="20">
        <v>-0.24047619047619051</v>
      </c>
      <c r="M151" s="20">
        <v>-1.6513049874580248</v>
      </c>
      <c r="N151" s="20">
        <v>-0.85464128180138221</v>
      </c>
      <c r="O151" s="311">
        <v>-7</v>
      </c>
      <c r="P151" s="20">
        <v>0.18737955899319658</v>
      </c>
      <c r="Q151" s="20">
        <v>-0.72602118067814203</v>
      </c>
      <c r="R151" s="312">
        <v>6</v>
      </c>
      <c r="S151" s="20">
        <v>-0.60481824373124304</v>
      </c>
      <c r="T151" s="20">
        <v>-0.84495462848785685</v>
      </c>
      <c r="U151" s="20">
        <v>1.9047619047619051</v>
      </c>
      <c r="V151" s="20">
        <v>2.7380952380952381</v>
      </c>
      <c r="W151" s="312">
        <v>0</v>
      </c>
      <c r="X151" s="313">
        <v>-1</v>
      </c>
      <c r="Y151" s="236">
        <f>17.2542734059621-((((AVERAGE(K151:N151)+AVERAGE(Q151+AVERAGE(S151:V151))))))</f>
        <v>18.346817216221709</v>
      </c>
    </row>
    <row r="152" spans="1:25">
      <c r="A152">
        <v>152</v>
      </c>
      <c r="B152">
        <v>0</v>
      </c>
      <c r="C152" s="252" t="s">
        <v>294</v>
      </c>
      <c r="D152" s="253" t="s">
        <v>293</v>
      </c>
      <c r="E152" s="252" t="s">
        <v>113</v>
      </c>
      <c r="F152" s="252" t="s">
        <v>134</v>
      </c>
      <c r="G152" s="350">
        <v>4</v>
      </c>
      <c r="H152" s="351">
        <v>3</v>
      </c>
      <c r="I152">
        <v>0</v>
      </c>
      <c r="J152">
        <v>0</v>
      </c>
      <c r="K152" s="20">
        <v>2.0855722692435839</v>
      </c>
      <c r="L152" s="20">
        <v>5.2711904761904753</v>
      </c>
      <c r="M152" s="20">
        <v>1.6974674499663036</v>
      </c>
      <c r="N152" s="20">
        <v>-0.38965569721019211</v>
      </c>
      <c r="O152" s="311">
        <v>2</v>
      </c>
      <c r="P152" s="20">
        <v>0.24188176638176628</v>
      </c>
      <c r="Q152" s="20">
        <v>4.2083375043545361</v>
      </c>
      <c r="R152" s="312">
        <v>42</v>
      </c>
      <c r="S152" s="20">
        <v>0.90807989985871762</v>
      </c>
      <c r="T152" s="20">
        <v>-0.44619230719863445</v>
      </c>
      <c r="U152" s="20">
        <v>0.66666666666666696</v>
      </c>
      <c r="V152" s="20">
        <v>-1.1428571428571415</v>
      </c>
      <c r="W152" s="312">
        <v>17</v>
      </c>
      <c r="X152" s="313">
        <v>61</v>
      </c>
      <c r="Y152" s="236">
        <f>20.8936587141265-((((AVERAGE(K152:N152)+AVERAGE(Q152+AVERAGE(S152:V152))))))</f>
        <v>14.522753306107017</v>
      </c>
    </row>
    <row r="153" spans="1:25">
      <c r="A153">
        <v>153</v>
      </c>
      <c r="B153">
        <v>0</v>
      </c>
      <c r="C153" s="252" t="s">
        <v>434</v>
      </c>
      <c r="D153" s="253" t="s">
        <v>433</v>
      </c>
      <c r="E153" s="252" t="s">
        <v>107</v>
      </c>
      <c r="F153" s="252" t="s">
        <v>122</v>
      </c>
      <c r="G153" s="350">
        <v>4</v>
      </c>
      <c r="H153" s="351">
        <v>3</v>
      </c>
      <c r="I153">
        <v>0</v>
      </c>
      <c r="J153">
        <v>0</v>
      </c>
      <c r="K153" s="20">
        <v>-1.9400667423587601</v>
      </c>
      <c r="L153" s="20">
        <v>-0.64523809523809561</v>
      </c>
      <c r="M153" s="20">
        <v>6.3259893587549687E-2</v>
      </c>
      <c r="N153" s="20">
        <v>-0.97625771615496237</v>
      </c>
      <c r="O153" s="311">
        <v>-2</v>
      </c>
      <c r="P153" s="20">
        <v>-0.24871833133196652</v>
      </c>
      <c r="Q153" s="20">
        <v>-1.1499282303120077</v>
      </c>
      <c r="R153" s="312">
        <v>7</v>
      </c>
      <c r="S153" s="20">
        <v>-2.1368469422395702</v>
      </c>
      <c r="T153" s="20">
        <v>0.55430144101142798</v>
      </c>
      <c r="U153" s="20">
        <v>-1.3095238095238084</v>
      </c>
      <c r="V153" s="20">
        <v>-0.95238095238095166</v>
      </c>
      <c r="W153" s="312">
        <v>-14</v>
      </c>
      <c r="X153" s="313">
        <v>-9</v>
      </c>
      <c r="Y153" s="236">
        <f>14.6041080637044-((((AVERAGE(K153:N153)+AVERAGE(Q153+AVERAGE(S153:V153))))))</f>
        <v>17.589724524840701</v>
      </c>
    </row>
    <row r="154" spans="1:25">
      <c r="A154">
        <v>154</v>
      </c>
      <c r="B154">
        <v>0</v>
      </c>
      <c r="C154" s="252" t="s">
        <v>618</v>
      </c>
      <c r="D154" s="253" t="s">
        <v>617</v>
      </c>
      <c r="E154" s="252" t="s">
        <v>119</v>
      </c>
      <c r="F154" s="252" t="s">
        <v>125</v>
      </c>
      <c r="G154" s="350">
        <v>1</v>
      </c>
      <c r="H154" s="351">
        <v>2</v>
      </c>
      <c r="I154">
        <v>0</v>
      </c>
      <c r="J154">
        <v>0</v>
      </c>
      <c r="K154" s="20">
        <v>-1.728600637362443</v>
      </c>
      <c r="L154" s="20">
        <v>-6.0071428571428571</v>
      </c>
      <c r="M154" s="20">
        <v>-2.2494791643316328</v>
      </c>
      <c r="N154" s="20">
        <v>-0.37616811742130807</v>
      </c>
      <c r="O154" s="311">
        <v>7</v>
      </c>
      <c r="P154" s="20">
        <v>0.21043323679687376</v>
      </c>
      <c r="Q154" s="20">
        <v>-3.7056704991270202</v>
      </c>
      <c r="R154" s="312">
        <v>0</v>
      </c>
      <c r="S154" s="20">
        <v>-1.5630807664712671</v>
      </c>
      <c r="T154" s="20">
        <v>-0.53370108995843157</v>
      </c>
      <c r="U154" s="20">
        <v>-4.4285714285714288</v>
      </c>
      <c r="V154" s="20">
        <v>-0.85714285714285765</v>
      </c>
      <c r="W154" s="312">
        <v>18</v>
      </c>
      <c r="X154" s="313">
        <v>25</v>
      </c>
      <c r="Y154" s="236">
        <f>13.2367366780062-((((AVERAGE(K154:N154)+AVERAGE(Q154+AVERAGE(S154:V154))))))</f>
        <v>21.378378906733776</v>
      </c>
    </row>
    <row r="155" spans="1:25">
      <c r="A155">
        <v>155</v>
      </c>
      <c r="B155">
        <v>0</v>
      </c>
      <c r="C155" s="252" t="s">
        <v>243</v>
      </c>
      <c r="D155" s="253" t="s">
        <v>242</v>
      </c>
      <c r="E155" s="252" t="s">
        <v>119</v>
      </c>
      <c r="F155" s="252" t="s">
        <v>136</v>
      </c>
      <c r="G155" s="350">
        <v>3</v>
      </c>
      <c r="H155" s="351">
        <v>3</v>
      </c>
      <c r="I155">
        <v>0</v>
      </c>
      <c r="J155">
        <v>0</v>
      </c>
      <c r="K155" s="305">
        <v>1.4161608631556009</v>
      </c>
      <c r="L155" s="305">
        <v>-0.45357142857142918</v>
      </c>
      <c r="M155" s="305">
        <v>-0.22508080381254958</v>
      </c>
      <c r="N155" s="305">
        <v>-6.9187906492986784E-2</v>
      </c>
      <c r="O155" s="311">
        <v>31</v>
      </c>
      <c r="P155" s="305">
        <v>0.50261821595912526</v>
      </c>
      <c r="Q155" s="305">
        <v>2.7016453208461684</v>
      </c>
      <c r="R155" s="312">
        <v>9</v>
      </c>
      <c r="S155" s="305">
        <v>-0.29267862592997007</v>
      </c>
      <c r="T155" s="305">
        <v>-0.13737235429058714</v>
      </c>
      <c r="U155" s="305">
        <v>-3.0515873015873014</v>
      </c>
      <c r="V155" s="305">
        <v>-1.4285714285714297</v>
      </c>
      <c r="W155" s="312">
        <v>37</v>
      </c>
      <c r="X155" s="313">
        <v>77</v>
      </c>
      <c r="Y155" s="236">
        <f>17.7126326953829-((((AVERAGE(K155:N155)+AVERAGE(Q155+AVERAGE(S155:V155))))))</f>
        <v>16.071459621061894</v>
      </c>
    </row>
    <row r="156" spans="1:25">
      <c r="A156">
        <v>156</v>
      </c>
      <c r="B156">
        <v>0</v>
      </c>
      <c r="C156" s="252" t="s">
        <v>307</v>
      </c>
      <c r="D156" s="253" t="s">
        <v>306</v>
      </c>
      <c r="E156" s="252" t="s">
        <v>107</v>
      </c>
      <c r="F156" s="252" t="s">
        <v>122</v>
      </c>
      <c r="G156" s="350">
        <v>4</v>
      </c>
      <c r="H156" s="351">
        <v>3</v>
      </c>
      <c r="I156">
        <v>0</v>
      </c>
      <c r="J156">
        <v>0</v>
      </c>
      <c r="K156" s="20">
        <v>3.8828063466047311</v>
      </c>
      <c r="L156" s="20">
        <v>-0.378571428571429</v>
      </c>
      <c r="M156" s="20">
        <v>-0.36301017757873466</v>
      </c>
      <c r="N156" s="20">
        <v>1.0768137666042135</v>
      </c>
      <c r="O156" s="311">
        <v>-17</v>
      </c>
      <c r="P156" s="20">
        <v>0.95436760966306355</v>
      </c>
      <c r="Q156" s="20">
        <v>-4.7852658763399232</v>
      </c>
      <c r="R156" s="312">
        <v>-4</v>
      </c>
      <c r="S156" s="20">
        <v>-0.18585729841157983</v>
      </c>
      <c r="T156" s="20">
        <v>-0.14666679600879196</v>
      </c>
      <c r="U156" s="20">
        <v>2.6190476190476186</v>
      </c>
      <c r="V156" s="20">
        <v>1.4285714285714279</v>
      </c>
      <c r="W156" s="312">
        <v>2</v>
      </c>
      <c r="X156" s="313">
        <v>-19</v>
      </c>
      <c r="Y156" s="236">
        <f>9.73345458565614-((((AVERAGE(K156:N156)+AVERAGE(Q156+AVERAGE(S156:V156))))))</f>
        <v>12.5354370969317</v>
      </c>
    </row>
    <row r="157" spans="1:25">
      <c r="A157">
        <v>157</v>
      </c>
      <c r="B157">
        <v>0</v>
      </c>
      <c r="C157" s="252" t="s">
        <v>444</v>
      </c>
      <c r="D157" s="253" t="s">
        <v>443</v>
      </c>
      <c r="E157" s="252" t="s">
        <v>115</v>
      </c>
      <c r="F157" s="252" t="s">
        <v>124</v>
      </c>
      <c r="G157" s="350">
        <v>3</v>
      </c>
      <c r="H157" s="351">
        <v>3</v>
      </c>
      <c r="I157">
        <v>0</v>
      </c>
      <c r="J157">
        <v>0</v>
      </c>
      <c r="K157" s="20">
        <v>-1.9640878965385369</v>
      </c>
      <c r="L157" s="20">
        <v>-4.3878571428571425</v>
      </c>
      <c r="M157" s="20">
        <v>-0.53482464146554087</v>
      </c>
      <c r="N157" s="20">
        <v>-0.67621157778030305</v>
      </c>
      <c r="O157" s="311">
        <v>1</v>
      </c>
      <c r="P157" s="20">
        <v>0.6358608992018091</v>
      </c>
      <c r="Q157" s="20">
        <v>-6.9785152742439012</v>
      </c>
      <c r="R157" s="312">
        <v>-1</v>
      </c>
      <c r="S157" s="20">
        <v>-0.67191659120916158</v>
      </c>
      <c r="T157" s="20">
        <v>-0.65062684789782921</v>
      </c>
      <c r="U157" s="20">
        <v>-1.6071428571428572</v>
      </c>
      <c r="V157" s="20">
        <v>-6.0714285714285712</v>
      </c>
      <c r="W157" s="312">
        <v>11</v>
      </c>
      <c r="X157" s="313">
        <v>11</v>
      </c>
      <c r="Y157" s="236">
        <f>6.9818952667097-((((AVERAGE(K157:N157)+AVERAGE(Q157+AVERAGE(S157:V157))))))</f>
        <v>18.101434572533588</v>
      </c>
    </row>
    <row r="158" spans="1:25">
      <c r="A158">
        <v>158</v>
      </c>
      <c r="B158">
        <v>0</v>
      </c>
      <c r="C158" s="252" t="s">
        <v>253</v>
      </c>
      <c r="D158" s="253" t="s">
        <v>252</v>
      </c>
      <c r="E158" s="252" t="s">
        <v>111</v>
      </c>
      <c r="F158" s="252" t="s">
        <v>112</v>
      </c>
      <c r="G158" s="350"/>
      <c r="H158" s="351">
        <v>2</v>
      </c>
      <c r="I158">
        <v>0</v>
      </c>
      <c r="J158">
        <v>0</v>
      </c>
      <c r="K158" s="20">
        <v>-1.9165194727702657</v>
      </c>
      <c r="L158" s="20">
        <v>2.4823809523809528</v>
      </c>
      <c r="M158" s="20">
        <v>2.6972267622229422</v>
      </c>
      <c r="N158" s="20">
        <v>0.15149521480569472</v>
      </c>
      <c r="O158" s="311">
        <v>-15</v>
      </c>
      <c r="P158" s="20">
        <v>6.7434861434861428</v>
      </c>
      <c r="Q158" s="20">
        <v>5.9477351916376318</v>
      </c>
      <c r="R158" s="312">
        <v>-16</v>
      </c>
      <c r="S158" s="20">
        <v>0.1771169829267405</v>
      </c>
      <c r="T158" s="20">
        <v>2.3224732437516349</v>
      </c>
      <c r="U158" s="20">
        <v>0.47619047619047628</v>
      </c>
      <c r="V158" s="20">
        <v>0.95238095238095433</v>
      </c>
      <c r="W158" s="312">
        <v>-21</v>
      </c>
      <c r="X158" s="313">
        <v>-52</v>
      </c>
      <c r="Y158" s="236">
        <f>16.7515831853634-((((AVERAGE(K158:N158)+AVERAGE(Q158+AVERAGE(S158:V158))))))</f>
        <v>8.968161715753487</v>
      </c>
    </row>
    <row r="159" spans="1:25">
      <c r="A159">
        <v>159</v>
      </c>
      <c r="B159">
        <v>0</v>
      </c>
      <c r="C159" s="252" t="s">
        <v>269</v>
      </c>
      <c r="D159" s="253" t="s">
        <v>268</v>
      </c>
      <c r="E159" s="252" t="s">
        <v>107</v>
      </c>
      <c r="F159" s="252" t="s">
        <v>121</v>
      </c>
      <c r="G159" s="350"/>
      <c r="H159" s="351">
        <v>4</v>
      </c>
      <c r="I159">
        <v>0</v>
      </c>
      <c r="J159">
        <v>0</v>
      </c>
      <c r="K159" s="20">
        <v>0.1829685782147088</v>
      </c>
      <c r="L159" s="20">
        <v>3.5214285714285714</v>
      </c>
      <c r="M159" s="20">
        <v>0.92817836457742198</v>
      </c>
      <c r="N159" s="20">
        <v>0.18272850666379981</v>
      </c>
      <c r="O159" s="298">
        <v>-6</v>
      </c>
      <c r="P159" s="20">
        <v>0.77950267241176352</v>
      </c>
      <c r="Q159" s="20">
        <v>-1.5298886545713648</v>
      </c>
      <c r="R159" s="312">
        <v>121</v>
      </c>
      <c r="S159" s="20">
        <v>1.9490961791069998</v>
      </c>
      <c r="T159" s="20">
        <v>-2.6573912230043462E-3</v>
      </c>
      <c r="U159" s="20">
        <v>4.2857142857142847</v>
      </c>
      <c r="V159" s="20">
        <v>4.2857142857142847</v>
      </c>
      <c r="W159" s="312">
        <v>0</v>
      </c>
      <c r="X159" s="313">
        <v>115</v>
      </c>
      <c r="Y159" s="236">
        <f>15.1943222054055-((((AVERAGE(K159:N159)+AVERAGE(Q159+AVERAGE(S159:V159))))))</f>
        <v>12.890918014927598</v>
      </c>
    </row>
    <row r="160" spans="1:25">
      <c r="A160">
        <v>161</v>
      </c>
      <c r="B160">
        <v>0</v>
      </c>
      <c r="C160" s="2" t="s">
        <v>456</v>
      </c>
      <c r="D160" s="253" t="s">
        <v>156</v>
      </c>
      <c r="E160" s="252" t="s">
        <v>109</v>
      </c>
      <c r="F160" s="252" t="s">
        <v>110</v>
      </c>
      <c r="G160" s="350">
        <v>2</v>
      </c>
      <c r="H160" s="353">
        <v>2</v>
      </c>
      <c r="I160">
        <v>0</v>
      </c>
      <c r="J160">
        <v>0</v>
      </c>
      <c r="K160" s="20">
        <v>1.0083990001159551</v>
      </c>
      <c r="L160" s="20">
        <v>3.8634920634920631</v>
      </c>
      <c r="M160" s="20">
        <v>-0.88907369533780312</v>
      </c>
      <c r="N160" s="20">
        <v>0.44229824638662674</v>
      </c>
      <c r="O160" s="311">
        <v>-96</v>
      </c>
      <c r="P160" s="20">
        <v>0.22666666078029785</v>
      </c>
      <c r="Q160" s="20">
        <v>-0.17446939486316193</v>
      </c>
      <c r="R160" s="312">
        <v>-1</v>
      </c>
      <c r="S160" s="20">
        <v>-0.65320742416039934</v>
      </c>
      <c r="T160" s="20">
        <v>0.362344084010644</v>
      </c>
      <c r="U160" s="20">
        <v>-0.3968253968253963</v>
      </c>
      <c r="V160" s="20">
        <v>0</v>
      </c>
      <c r="W160" s="312">
        <v>-5</v>
      </c>
      <c r="X160" s="313">
        <v>-102</v>
      </c>
      <c r="Y160" s="236">
        <f>16.3807680655383-((((AVERAGE(K160:N160)+AVERAGE(Q160+AVERAGE(S160:V160))))))</f>
        <v>15.620880740981042</v>
      </c>
    </row>
    <row r="161" spans="1:25">
      <c r="A161">
        <v>162</v>
      </c>
      <c r="B161">
        <v>0</v>
      </c>
      <c r="C161" s="252" t="s">
        <v>259</v>
      </c>
      <c r="D161" s="253" t="s">
        <v>258</v>
      </c>
      <c r="E161" s="252" t="s">
        <v>107</v>
      </c>
      <c r="F161" s="252" t="s">
        <v>126</v>
      </c>
      <c r="G161" s="350">
        <v>3</v>
      </c>
      <c r="H161" s="351">
        <v>3</v>
      </c>
      <c r="I161">
        <v>0</v>
      </c>
      <c r="J161">
        <v>0</v>
      </c>
      <c r="K161" s="305">
        <v>1.7131248800389542</v>
      </c>
      <c r="L161" s="305">
        <v>1.9746031746031729</v>
      </c>
      <c r="M161" s="305">
        <v>1.9278884707552466</v>
      </c>
      <c r="N161" s="305">
        <v>0.64843604418738199</v>
      </c>
      <c r="O161" s="311">
        <v>2</v>
      </c>
      <c r="P161" s="305">
        <v>6.7971768971768967</v>
      </c>
      <c r="Q161" s="305">
        <v>2.8998124417109565</v>
      </c>
      <c r="R161" s="312">
        <v>-63</v>
      </c>
      <c r="S161" s="305">
        <v>-0.54351562677117915</v>
      </c>
      <c r="T161" s="305">
        <v>1.8214285714285712</v>
      </c>
      <c r="U161" s="305">
        <v>1.238095238095239</v>
      </c>
      <c r="V161" s="305">
        <v>3.3333333333333339</v>
      </c>
      <c r="W161" s="312">
        <v>-14</v>
      </c>
      <c r="X161" s="313">
        <v>-75</v>
      </c>
      <c r="Y161" s="236">
        <f>20.2928050432117-((((AVERAGE(K161:N161)+AVERAGE(Q161+AVERAGE(S161:V161))))))</f>
        <v>14.364644080083064</v>
      </c>
    </row>
    <row r="162" spans="1:25">
      <c r="A162">
        <v>163</v>
      </c>
      <c r="B162">
        <v>0</v>
      </c>
      <c r="C162" s="252" t="s">
        <v>414</v>
      </c>
      <c r="D162" s="253" t="s">
        <v>413</v>
      </c>
      <c r="E162" s="252" t="s">
        <v>115</v>
      </c>
      <c r="F162" s="252" t="s">
        <v>116</v>
      </c>
      <c r="G162" s="350">
        <v>3</v>
      </c>
      <c r="H162" s="351">
        <v>2</v>
      </c>
      <c r="I162">
        <v>0</v>
      </c>
      <c r="J162">
        <v>0</v>
      </c>
      <c r="K162" s="20">
        <v>-0.2354490574338941</v>
      </c>
      <c r="L162" s="20">
        <v>2.6261904761904766</v>
      </c>
      <c r="M162" s="20">
        <v>0.70954277406512833</v>
      </c>
      <c r="N162" s="20">
        <v>-0.50326379096984919</v>
      </c>
      <c r="O162" s="311">
        <v>6</v>
      </c>
      <c r="P162" s="20">
        <v>0.55173523109886879</v>
      </c>
      <c r="Q162" s="20">
        <v>1.3524825009588026</v>
      </c>
      <c r="R162" s="312">
        <v>6</v>
      </c>
      <c r="S162" s="20">
        <v>-0.33227037790745717</v>
      </c>
      <c r="T162" s="20">
        <v>-0.15633934103480218</v>
      </c>
      <c r="U162" s="20">
        <v>1.7380952380952381</v>
      </c>
      <c r="V162" s="20">
        <v>1.1904761904761889</v>
      </c>
      <c r="W162" s="312">
        <v>29</v>
      </c>
      <c r="X162" s="313">
        <v>41</v>
      </c>
      <c r="Y162" s="236">
        <f>20.0686852083787-((((AVERAGE(K162:N162)+AVERAGE(Q162+AVERAGE(S162:V162))))))</f>
        <v>17.45695717954964</v>
      </c>
    </row>
    <row r="163" spans="1:25">
      <c r="A163">
        <v>164</v>
      </c>
      <c r="B163">
        <v>0</v>
      </c>
      <c r="C163" s="252" t="s">
        <v>572</v>
      </c>
      <c r="D163" s="253" t="s">
        <v>571</v>
      </c>
      <c r="E163" s="252" t="s">
        <v>111</v>
      </c>
      <c r="F163" s="252" t="s">
        <v>110</v>
      </c>
      <c r="G163" s="350">
        <v>1</v>
      </c>
      <c r="H163" s="351">
        <v>2</v>
      </c>
      <c r="I163">
        <v>1</v>
      </c>
      <c r="J163">
        <v>0</v>
      </c>
      <c r="K163" s="305">
        <v>-2.4657788402365011</v>
      </c>
      <c r="L163" s="305">
        <v>-1.9873015873015873</v>
      </c>
      <c r="M163" s="305">
        <v>-3.8218045218116528</v>
      </c>
      <c r="N163" s="305">
        <v>-1.436575804177072</v>
      </c>
      <c r="O163" s="311">
        <v>9</v>
      </c>
      <c r="P163" s="305">
        <v>0.6558044724635641</v>
      </c>
      <c r="Q163" s="305">
        <v>-0.93876515358306634</v>
      </c>
      <c r="R163" s="312">
        <v>-1</v>
      </c>
      <c r="S163" s="305">
        <v>-2.5582184305536</v>
      </c>
      <c r="T163" s="305">
        <v>-0.44441380317381363</v>
      </c>
      <c r="U163" s="305">
        <v>-1.5396825396825387</v>
      </c>
      <c r="V163" s="305">
        <v>-0.47619047619047628</v>
      </c>
      <c r="W163" s="312">
        <v>3</v>
      </c>
      <c r="X163" s="313">
        <v>11</v>
      </c>
      <c r="Y163" s="236">
        <f>17.0781545345735-((((AVERAGE(K163:N163)+AVERAGE(Q163+AVERAGE(S163:V163))))))</f>
        <v>21.699411188938377</v>
      </c>
    </row>
    <row r="164" spans="1:25">
      <c r="A164">
        <v>165</v>
      </c>
      <c r="B164">
        <v>0</v>
      </c>
      <c r="C164" s="252" t="s">
        <v>576</v>
      </c>
      <c r="D164" s="253" t="s">
        <v>575</v>
      </c>
      <c r="E164" s="252" t="s">
        <v>111</v>
      </c>
      <c r="F164" s="252" t="s">
        <v>110</v>
      </c>
      <c r="G164" s="350">
        <v>1</v>
      </c>
      <c r="H164" s="351">
        <v>2</v>
      </c>
      <c r="I164">
        <v>0</v>
      </c>
      <c r="J164">
        <v>0</v>
      </c>
      <c r="K164" s="305">
        <v>-1.0018777454183345</v>
      </c>
      <c r="L164" s="305">
        <v>-1.723809523809523</v>
      </c>
      <c r="M164" s="305">
        <v>-0.32333923616241922</v>
      </c>
      <c r="N164" s="305">
        <v>-0.42722246188116042</v>
      </c>
      <c r="O164" s="311">
        <v>8</v>
      </c>
      <c r="P164" s="305">
        <v>-1.5825151279696748E-2</v>
      </c>
      <c r="Q164" s="305">
        <v>-1.2848415086808727</v>
      </c>
      <c r="R164" s="312">
        <v>-2</v>
      </c>
      <c r="S164" s="305">
        <v>-2.6289239753159066</v>
      </c>
      <c r="T164" s="305">
        <v>-0.26900259093602408</v>
      </c>
      <c r="U164" s="305">
        <v>-2.4404761904761907</v>
      </c>
      <c r="V164" s="305">
        <v>-1.4285714285714288</v>
      </c>
      <c r="W164" s="312">
        <v>18</v>
      </c>
      <c r="X164" s="313">
        <v>24</v>
      </c>
      <c r="Y164" s="236">
        <f>17.0777810350561-((((AVERAGE(K164:N164)+AVERAGE(Q164+AVERAGE(S164:V164))))))</f>
        <v>20.92342833187972</v>
      </c>
    </row>
    <row r="165" spans="1:25">
      <c r="A165">
        <v>168</v>
      </c>
      <c r="B165">
        <v>0</v>
      </c>
      <c r="C165" s="252" t="s">
        <v>386</v>
      </c>
      <c r="D165" s="253" t="s">
        <v>385</v>
      </c>
      <c r="E165" s="252" t="s">
        <v>107</v>
      </c>
      <c r="F165" s="252" t="s">
        <v>108</v>
      </c>
      <c r="G165" s="350">
        <v>3</v>
      </c>
      <c r="H165" s="351">
        <v>3</v>
      </c>
      <c r="I165">
        <v>0</v>
      </c>
      <c r="J165">
        <v>0</v>
      </c>
      <c r="K165" s="305">
        <v>1.0688407346859936</v>
      </c>
      <c r="L165" s="305">
        <v>-1.1345238095238095</v>
      </c>
      <c r="M165" s="305">
        <v>-0.88046256087909036</v>
      </c>
      <c r="N165" s="305">
        <v>-0.13014971471376313</v>
      </c>
      <c r="O165" s="311">
        <v>33</v>
      </c>
      <c r="P165" s="305">
        <v>0.39447275199547871</v>
      </c>
      <c r="Q165" s="305">
        <v>-0.74578091495017063</v>
      </c>
      <c r="R165" s="312">
        <v>9</v>
      </c>
      <c r="S165" s="305">
        <v>0.99639288440529317</v>
      </c>
      <c r="T165" s="305">
        <v>-0.38800942202059385</v>
      </c>
      <c r="U165" s="305">
        <v>-2.3357142857142854</v>
      </c>
      <c r="V165" s="305">
        <v>-1.7857142857142847</v>
      </c>
      <c r="W165" s="312">
        <v>24</v>
      </c>
      <c r="X165" s="313">
        <v>66</v>
      </c>
      <c r="Y165" s="236">
        <f>16.0321419144608-((((AVERAGE(K165:N165)+AVERAGE(Q165+AVERAGE(S165:V165))))))</f>
        <v>17.925257944279608</v>
      </c>
    </row>
    <row r="166" spans="1:25">
      <c r="A166">
        <v>169</v>
      </c>
      <c r="B166">
        <v>0</v>
      </c>
      <c r="C166" s="252" t="s">
        <v>446</v>
      </c>
      <c r="D166" s="253" t="s">
        <v>445</v>
      </c>
      <c r="E166" s="252" t="s">
        <v>107</v>
      </c>
      <c r="F166" s="252" t="s">
        <v>133</v>
      </c>
      <c r="G166" s="350">
        <v>2</v>
      </c>
      <c r="H166" s="351">
        <v>2</v>
      </c>
      <c r="I166">
        <v>0</v>
      </c>
      <c r="J166">
        <v>0</v>
      </c>
      <c r="K166" s="305">
        <v>0.63732814036408314</v>
      </c>
      <c r="L166" s="305">
        <v>-4.0447619047619048</v>
      </c>
      <c r="M166" s="305">
        <v>-3.7676571512066701</v>
      </c>
      <c r="N166" s="305">
        <v>-1.3577129432781279</v>
      </c>
      <c r="O166" s="311">
        <v>3</v>
      </c>
      <c r="P166" s="305">
        <v>0.31774805161168818</v>
      </c>
      <c r="Q166" s="305">
        <v>0.18497743628253094</v>
      </c>
      <c r="R166" s="312">
        <v>14</v>
      </c>
      <c r="S166" s="305">
        <v>1.4470252351821888</v>
      </c>
      <c r="T166" s="305">
        <v>-1.2420506184197477</v>
      </c>
      <c r="U166" s="305">
        <v>-1.6150793650793647</v>
      </c>
      <c r="V166" s="305">
        <v>-3.7500000000000009</v>
      </c>
      <c r="W166" s="312">
        <v>-3</v>
      </c>
      <c r="X166" s="313">
        <v>14</v>
      </c>
      <c r="Y166" s="236">
        <f>13.8204883351039-((((AVERAGE(K166:N166)+AVERAGE(Q166+AVERAGE(S166:V166))))))</f>
        <v>17.058738050621255</v>
      </c>
    </row>
    <row r="167" spans="1:25">
      <c r="A167">
        <v>170</v>
      </c>
      <c r="B167">
        <v>0</v>
      </c>
      <c r="C167" s="252" t="s">
        <v>460</v>
      </c>
      <c r="D167" s="253" t="s">
        <v>157</v>
      </c>
      <c r="E167" s="252" t="s">
        <v>113</v>
      </c>
      <c r="F167" s="252" t="s">
        <v>140</v>
      </c>
      <c r="G167" s="350">
        <v>3</v>
      </c>
      <c r="H167" s="351">
        <v>3</v>
      </c>
      <c r="I167">
        <v>0</v>
      </c>
      <c r="J167">
        <v>0</v>
      </c>
      <c r="K167" s="310">
        <v>-0.55177412283461358</v>
      </c>
      <c r="L167" s="310">
        <v>-0.60892857142857171</v>
      </c>
      <c r="M167" s="310">
        <v>-0.37563261539373172</v>
      </c>
      <c r="N167" s="310">
        <v>-1.1421077067179057</v>
      </c>
      <c r="O167" s="311">
        <v>-20</v>
      </c>
      <c r="P167" s="310">
        <v>-1.5021846259800808</v>
      </c>
      <c r="Q167" s="310">
        <v>-0.21263979971012326</v>
      </c>
      <c r="R167" s="312">
        <v>10</v>
      </c>
      <c r="S167" s="310">
        <v>-1.0751612249324491</v>
      </c>
      <c r="T167" s="310">
        <v>-0.45659319147157085</v>
      </c>
      <c r="U167" s="310">
        <v>-0.53571428571428648</v>
      </c>
      <c r="V167" s="310">
        <v>-2.321428571428573</v>
      </c>
      <c r="W167" s="312">
        <v>18</v>
      </c>
      <c r="X167" s="313">
        <v>8</v>
      </c>
      <c r="Y167" s="236">
        <f>14.8462664391491-((((AVERAGE(K167:N167)+AVERAGE(Q167+AVERAGE(S167:V167))))))</f>
        <v>16.825741311339648</v>
      </c>
    </row>
    <row r="168" spans="1:25">
      <c r="A168">
        <v>171</v>
      </c>
      <c r="B168">
        <v>0</v>
      </c>
      <c r="C168" s="252" t="s">
        <v>296</v>
      </c>
      <c r="D168" s="253" t="s">
        <v>295</v>
      </c>
      <c r="E168" s="252" t="s">
        <v>107</v>
      </c>
      <c r="F168" s="252" t="s">
        <v>126</v>
      </c>
      <c r="G168" s="350">
        <v>4</v>
      </c>
      <c r="H168" s="351">
        <v>3</v>
      </c>
      <c r="I168">
        <v>0</v>
      </c>
      <c r="J168">
        <v>0</v>
      </c>
      <c r="K168" s="20">
        <v>2.7416808637739107</v>
      </c>
      <c r="L168" s="20">
        <v>2.0919780219780217</v>
      </c>
      <c r="M168" s="20">
        <v>0.22092628529753089</v>
      </c>
      <c r="N168" s="20">
        <v>0.33577732189495713</v>
      </c>
      <c r="O168" s="311">
        <v>-20</v>
      </c>
      <c r="P168" s="20">
        <v>-0.46860836806291317</v>
      </c>
      <c r="Q168" s="20">
        <v>1.9531127955893446</v>
      </c>
      <c r="R168" s="312">
        <v>5</v>
      </c>
      <c r="S168" s="20">
        <v>1.2087668902139495</v>
      </c>
      <c r="T168" s="20">
        <v>-0.12286012080048181</v>
      </c>
      <c r="U168" s="20">
        <v>3.6263736263736268</v>
      </c>
      <c r="V168" s="20">
        <v>4.0659340659340648</v>
      </c>
      <c r="W168" s="312">
        <v>4</v>
      </c>
      <c r="X168" s="313">
        <v>-11</v>
      </c>
      <c r="Y168" s="236">
        <f>18.637924875117-((((AVERAGE(K168:N168)+AVERAGE(Q168+AVERAGE(S168:V168))))))</f>
        <v>13.142667840861261</v>
      </c>
    </row>
    <row r="169" spans="1:25">
      <c r="A169">
        <v>172</v>
      </c>
      <c r="B169">
        <v>0</v>
      </c>
      <c r="C169" s="252" t="s">
        <v>265</v>
      </c>
      <c r="D169" s="253" t="s">
        <v>264</v>
      </c>
      <c r="E169" s="252" t="s">
        <v>107</v>
      </c>
      <c r="F169" s="252" t="s">
        <v>122</v>
      </c>
      <c r="G169" s="350">
        <v>4</v>
      </c>
      <c r="H169" s="351">
        <v>3</v>
      </c>
      <c r="I169">
        <v>0</v>
      </c>
      <c r="J169">
        <v>0</v>
      </c>
      <c r="K169" s="20">
        <v>-0.14098534111553374</v>
      </c>
      <c r="L169" s="20">
        <v>-0.67682539682539744</v>
      </c>
      <c r="M169" s="20">
        <v>2.3830476601738106</v>
      </c>
      <c r="N169" s="20">
        <v>0.45667292267572801</v>
      </c>
      <c r="O169" s="311">
        <v>17</v>
      </c>
      <c r="P169" s="20">
        <v>2.1094148242330055</v>
      </c>
      <c r="Q169" s="20">
        <v>0.67193692035214614</v>
      </c>
      <c r="R169" s="312">
        <v>2</v>
      </c>
      <c r="S169" s="20">
        <v>0.20245993104114834</v>
      </c>
      <c r="T169" s="20">
        <v>-0.40049470920506813</v>
      </c>
      <c r="U169" s="20">
        <v>-1.2857142857142856</v>
      </c>
      <c r="V169" s="20">
        <v>1.4285714285714297</v>
      </c>
      <c r="W169" s="312">
        <v>6</v>
      </c>
      <c r="X169" s="313">
        <v>25</v>
      </c>
      <c r="Y169" s="236">
        <f>16.5091657490075-((((AVERAGE(K169:N169)+AVERAGE(Q169+AVERAGE(S169:V169))))))</f>
        <v>15.345545776254896</v>
      </c>
    </row>
    <row r="170" spans="1:25">
      <c r="A170">
        <v>173</v>
      </c>
      <c r="B170">
        <v>0</v>
      </c>
      <c r="C170" s="252" t="s">
        <v>644</v>
      </c>
      <c r="D170" s="253" t="s">
        <v>643</v>
      </c>
      <c r="E170" s="252" t="s">
        <v>119</v>
      </c>
      <c r="F170" s="252" t="s">
        <v>125</v>
      </c>
      <c r="G170" s="350">
        <v>3</v>
      </c>
      <c r="H170" s="351">
        <v>3</v>
      </c>
      <c r="I170">
        <v>0</v>
      </c>
      <c r="J170">
        <v>0</v>
      </c>
      <c r="K170" s="305">
        <v>-4.2312736093317076</v>
      </c>
      <c r="L170" s="305">
        <v>-0.83150183150183121</v>
      </c>
      <c r="M170" s="305">
        <v>1.2023199307891952</v>
      </c>
      <c r="N170" s="305">
        <v>4.1595729816878979E-2</v>
      </c>
      <c r="O170" s="311">
        <v>21</v>
      </c>
      <c r="P170" s="305">
        <v>2.2309640283958476</v>
      </c>
      <c r="Q170" s="305">
        <v>-1.8624891168951896</v>
      </c>
      <c r="R170" s="312">
        <v>-41</v>
      </c>
      <c r="S170" s="305">
        <v>-3.277281345978162</v>
      </c>
      <c r="T170" s="305">
        <v>-0.57771764811343296</v>
      </c>
      <c r="U170" s="305">
        <v>-3.0549450549450539</v>
      </c>
      <c r="V170" s="305">
        <v>-2.1520146520146515</v>
      </c>
      <c r="W170" s="312">
        <v>9</v>
      </c>
      <c r="X170" s="313">
        <v>-11</v>
      </c>
      <c r="Y170" s="236">
        <f>15.0283673896486-((((AVERAGE(K170:N170)+AVERAGE(Q170+AVERAGE(S170:V170))))))</f>
        <v>20.111061126863483</v>
      </c>
    </row>
    <row r="171" spans="1:25">
      <c r="A171">
        <v>174</v>
      </c>
      <c r="B171">
        <v>0</v>
      </c>
      <c r="C171" s="252" t="s">
        <v>426</v>
      </c>
      <c r="D171" s="253" t="s">
        <v>425</v>
      </c>
      <c r="E171" s="252" t="s">
        <v>109</v>
      </c>
      <c r="F171" s="252" t="s">
        <v>141</v>
      </c>
      <c r="G171" s="350">
        <v>3</v>
      </c>
      <c r="H171" s="351">
        <v>3</v>
      </c>
      <c r="I171">
        <v>0</v>
      </c>
      <c r="J171">
        <v>0</v>
      </c>
      <c r="K171" s="20">
        <v>-1.2590994698794882</v>
      </c>
      <c r="L171" s="20">
        <v>-1.535714285714286</v>
      </c>
      <c r="M171" s="20">
        <v>-2.237131420454654</v>
      </c>
      <c r="N171" s="20">
        <v>-0.68541767358999639</v>
      </c>
      <c r="O171" s="311">
        <v>2</v>
      </c>
      <c r="P171" s="20">
        <v>0.43836278872642609</v>
      </c>
      <c r="Q171" s="20">
        <v>-0.67223030995366972</v>
      </c>
      <c r="R171" s="312">
        <v>-10</v>
      </c>
      <c r="S171" s="20">
        <v>-2.5863597714049584</v>
      </c>
      <c r="T171" s="20">
        <v>-1.4215126863464507</v>
      </c>
      <c r="U171" s="20">
        <v>-8.8817841970012523E-16</v>
      </c>
      <c r="V171" s="20">
        <v>-2.5</v>
      </c>
      <c r="W171" s="312">
        <v>32</v>
      </c>
      <c r="X171" s="313">
        <v>24</v>
      </c>
      <c r="Y171" s="236">
        <f>13.9123569895342-((((AVERAGE(K171:N171)+AVERAGE(Q171+AVERAGE(S171:V171))))))</f>
        <v>17.640896126335328</v>
      </c>
    </row>
    <row r="172" spans="1:25">
      <c r="A172">
        <v>175</v>
      </c>
      <c r="B172">
        <v>0</v>
      </c>
      <c r="C172" s="252" t="s">
        <v>478</v>
      </c>
      <c r="D172" s="253" t="s">
        <v>477</v>
      </c>
      <c r="E172" s="252" t="s">
        <v>109</v>
      </c>
      <c r="F172" s="252" t="s">
        <v>141</v>
      </c>
      <c r="G172" s="350">
        <v>3</v>
      </c>
      <c r="H172" s="351">
        <v>3</v>
      </c>
      <c r="I172">
        <v>0</v>
      </c>
      <c r="J172">
        <v>0</v>
      </c>
      <c r="K172" s="305">
        <v>-2.8252909250504388E-2</v>
      </c>
      <c r="L172" s="305">
        <v>-3.3047619047619046</v>
      </c>
      <c r="M172" s="305">
        <v>-1.5337964430279474</v>
      </c>
      <c r="N172" s="305">
        <v>-2.644649125182851</v>
      </c>
      <c r="O172" s="311">
        <v>42</v>
      </c>
      <c r="P172" s="305">
        <v>0.37367592003955608</v>
      </c>
      <c r="Q172" s="305">
        <v>1.163435288349346</v>
      </c>
      <c r="R172" s="312">
        <v>6</v>
      </c>
      <c r="S172" s="305">
        <v>-0.57107835607506341</v>
      </c>
      <c r="T172" s="305">
        <v>-0.52216217504274098</v>
      </c>
      <c r="U172" s="305">
        <v>-5.4285714285714288</v>
      </c>
      <c r="V172" s="305">
        <v>-7.3333333333333339</v>
      </c>
      <c r="W172" s="312">
        <v>37</v>
      </c>
      <c r="X172" s="313">
        <v>85</v>
      </c>
      <c r="Y172" s="236">
        <f>12.3343534411855-((((AVERAGE(K172:N172)+AVERAGE(Q172+AVERAGE(S172:V172))))))</f>
        <v>16.512569571647596</v>
      </c>
    </row>
    <row r="173" spans="1:25">
      <c r="A173">
        <v>176</v>
      </c>
      <c r="B173">
        <v>0</v>
      </c>
      <c r="C173" s="252" t="s">
        <v>301</v>
      </c>
      <c r="D173" s="253" t="s">
        <v>291</v>
      </c>
      <c r="E173" s="252" t="s">
        <v>119</v>
      </c>
      <c r="F173" s="252" t="s">
        <v>125</v>
      </c>
      <c r="G173" s="350">
        <v>3</v>
      </c>
      <c r="H173" s="351">
        <v>3</v>
      </c>
      <c r="I173">
        <v>0</v>
      </c>
      <c r="J173">
        <v>0</v>
      </c>
      <c r="K173" s="20">
        <v>0.72394159396657631</v>
      </c>
      <c r="L173" s="20">
        <v>1.9319047619047618</v>
      </c>
      <c r="M173" s="20">
        <v>1.2367624064348455</v>
      </c>
      <c r="N173" s="20">
        <v>-0.84777105440547196</v>
      </c>
      <c r="O173" s="311">
        <v>-8</v>
      </c>
      <c r="P173" s="20">
        <v>1.4333303018530295</v>
      </c>
      <c r="Q173" s="20">
        <v>1.818410380547717</v>
      </c>
      <c r="R173" s="312">
        <v>-3</v>
      </c>
      <c r="S173" s="20">
        <v>0.14175486775792967</v>
      </c>
      <c r="T173" s="20">
        <v>-0.43127896821201306</v>
      </c>
      <c r="U173" s="20">
        <v>-0.16666666666666607</v>
      </c>
      <c r="V173" s="20">
        <v>0</v>
      </c>
      <c r="W173" s="312">
        <v>39</v>
      </c>
      <c r="X173" s="313">
        <v>28</v>
      </c>
      <c r="Y173" s="236">
        <f>17.5820821248764-((((AVERAGE(K173:N173)+AVERAGE(Q173+AVERAGE(S173:V173))))))</f>
        <v>15.116510009133693</v>
      </c>
    </row>
    <row r="174" spans="1:25">
      <c r="A174">
        <v>177</v>
      </c>
      <c r="B174">
        <v>0</v>
      </c>
      <c r="C174" s="252" t="s">
        <v>290</v>
      </c>
      <c r="D174" s="253" t="s">
        <v>289</v>
      </c>
      <c r="E174" s="252" t="s">
        <v>119</v>
      </c>
      <c r="F174" s="252" t="s">
        <v>136</v>
      </c>
      <c r="G174" s="350">
        <v>2</v>
      </c>
      <c r="H174" s="351">
        <v>2</v>
      </c>
      <c r="I174">
        <v>0</v>
      </c>
      <c r="J174">
        <v>0</v>
      </c>
      <c r="K174" s="305">
        <v>-1.0019521875909154</v>
      </c>
      <c r="L174" s="305">
        <v>4.8825396825396821</v>
      </c>
      <c r="M174" s="305">
        <v>-0.65605416448505949</v>
      </c>
      <c r="N174" s="305">
        <v>2.429504707986029</v>
      </c>
      <c r="O174" s="311">
        <v>-1</v>
      </c>
      <c r="P174" s="305">
        <v>0.86505024016387644</v>
      </c>
      <c r="Q174" s="305">
        <v>0.74730313859981923</v>
      </c>
      <c r="R174" s="312">
        <v>4</v>
      </c>
      <c r="S174" s="305">
        <v>-1.3690919676401871</v>
      </c>
      <c r="T174" s="305">
        <v>-0.48791254408376039</v>
      </c>
      <c r="U174" s="305">
        <v>5.1904761904761898</v>
      </c>
      <c r="V174" s="305">
        <v>4.7142857142857135</v>
      </c>
      <c r="W174" s="312">
        <v>3</v>
      </c>
      <c r="X174" s="313">
        <v>6</v>
      </c>
      <c r="Y174" s="236">
        <f>16.5662039836928-((((AVERAGE(K174:N174)+AVERAGE(Q174+AVERAGE(S174:V174))))))</f>
        <v>12.393451987221059</v>
      </c>
    </row>
    <row r="175" spans="1:25">
      <c r="A175">
        <v>178</v>
      </c>
      <c r="B175">
        <v>0</v>
      </c>
      <c r="C175" s="252" t="s">
        <v>402</v>
      </c>
      <c r="D175" s="253" t="s">
        <v>401</v>
      </c>
      <c r="E175" s="252" t="s">
        <v>115</v>
      </c>
      <c r="F175" s="252" t="s">
        <v>118</v>
      </c>
      <c r="G175" s="350">
        <v>2</v>
      </c>
      <c r="H175" s="351">
        <v>2</v>
      </c>
      <c r="I175">
        <v>0</v>
      </c>
      <c r="J175">
        <v>0</v>
      </c>
      <c r="K175" s="20">
        <v>-0.58674220729348825</v>
      </c>
      <c r="L175" s="20">
        <v>-6.6428571428571281E-2</v>
      </c>
      <c r="M175" s="20">
        <v>-0.19962765011070926</v>
      </c>
      <c r="N175" s="20">
        <v>1.6219695580665991</v>
      </c>
      <c r="O175" s="311">
        <v>9</v>
      </c>
      <c r="P175" s="20">
        <v>0.27881722233994921</v>
      </c>
      <c r="Q175" s="20">
        <v>-0.13052941448943844</v>
      </c>
      <c r="R175" s="312">
        <v>8</v>
      </c>
      <c r="S175" s="20">
        <v>-0.6631487313460398</v>
      </c>
      <c r="T175" s="20">
        <v>-0.2660752702868141</v>
      </c>
      <c r="U175" s="20">
        <v>4.2166666666666677</v>
      </c>
      <c r="V175" s="20">
        <v>3.4523809523809526</v>
      </c>
      <c r="W175" s="312">
        <v>-24</v>
      </c>
      <c r="X175" s="313">
        <v>-7</v>
      </c>
      <c r="Y175" s="236">
        <f>19.4559768830946-((((AVERAGE(K175:N175)+AVERAGE(Q175+AVERAGE(S175:V175))))))</f>
        <v>17.709257610921888</v>
      </c>
    </row>
    <row r="176" spans="1:25">
      <c r="A176">
        <v>179</v>
      </c>
      <c r="B176">
        <v>0</v>
      </c>
      <c r="C176" s="252" t="s">
        <v>658</v>
      </c>
      <c r="D176" s="253" t="s">
        <v>657</v>
      </c>
      <c r="E176" s="252" t="s">
        <v>113</v>
      </c>
      <c r="F176" s="252" t="s">
        <v>134</v>
      </c>
      <c r="G176" s="350">
        <v>2</v>
      </c>
      <c r="H176" s="351">
        <v>3</v>
      </c>
      <c r="I176">
        <v>0</v>
      </c>
      <c r="J176">
        <v>0</v>
      </c>
      <c r="K176" s="305">
        <v>-0.2432154938501867</v>
      </c>
      <c r="L176" s="305">
        <v>-1.8404761904761902</v>
      </c>
      <c r="M176" s="305">
        <v>-1.1938425878161416</v>
      </c>
      <c r="N176" s="305">
        <v>-1.0105502956875947</v>
      </c>
      <c r="O176" s="311">
        <v>3</v>
      </c>
      <c r="P176" s="305">
        <v>-2.4256450519177779</v>
      </c>
      <c r="Q176" s="305">
        <v>0.29304169645020295</v>
      </c>
      <c r="R176" s="312">
        <v>4</v>
      </c>
      <c r="S176" s="305">
        <v>-2.2234976297715638</v>
      </c>
      <c r="T176" s="305">
        <v>-0.48253069141808069</v>
      </c>
      <c r="U176" s="305">
        <v>-0.10458874458874501</v>
      </c>
      <c r="V176" s="305">
        <v>4.4805194805194812</v>
      </c>
      <c r="W176" s="312">
        <v>15</v>
      </c>
      <c r="X176" s="313">
        <v>22</v>
      </c>
      <c r="Y176" s="236">
        <f>17.8483797250435-((((AVERAGE(K176:N176)+AVERAGE(Q176+AVERAGE(S176:V176))))))</f>
        <v>18.209883566865553</v>
      </c>
    </row>
    <row r="177" spans="1:102">
      <c r="A177">
        <v>181</v>
      </c>
      <c r="B177">
        <v>0</v>
      </c>
      <c r="C177" s="252" t="s">
        <v>602</v>
      </c>
      <c r="D177" s="253" t="s">
        <v>601</v>
      </c>
      <c r="E177" s="252" t="s">
        <v>109</v>
      </c>
      <c r="F177" s="252" t="s">
        <v>110</v>
      </c>
      <c r="G177" s="350">
        <v>2</v>
      </c>
      <c r="H177" s="351">
        <v>2</v>
      </c>
      <c r="I177">
        <v>0</v>
      </c>
      <c r="J177">
        <v>0</v>
      </c>
      <c r="K177" s="305">
        <v>-0.31337395689903236</v>
      </c>
      <c r="L177" s="305">
        <v>-1.8321009942438504</v>
      </c>
      <c r="M177" s="305">
        <v>-1.3433853516575138</v>
      </c>
      <c r="N177" s="305">
        <v>-2.2816235168363601</v>
      </c>
      <c r="O177" s="311">
        <v>4</v>
      </c>
      <c r="P177" s="305">
        <v>-0.47531749311294735</v>
      </c>
      <c r="Q177" s="305">
        <v>0.34442181480665113</v>
      </c>
      <c r="R177" s="312">
        <v>-4</v>
      </c>
      <c r="S177" s="305">
        <v>-1.480731731477523</v>
      </c>
      <c r="T177" s="305">
        <v>-0.469972057637003</v>
      </c>
      <c r="U177" s="305">
        <v>-2.196232339089482</v>
      </c>
      <c r="V177" s="305">
        <v>-0.78231292517006956</v>
      </c>
      <c r="W177" s="312">
        <v>4</v>
      </c>
      <c r="X177" s="313">
        <v>4</v>
      </c>
      <c r="Y177" s="236">
        <f>17.8891634526681-((((AVERAGE(K177:N177)+AVERAGE(Q177+AVERAGE(S177:V177))))))</f>
        <v>20.219674856114157</v>
      </c>
    </row>
    <row r="178" spans="1:102">
      <c r="A178">
        <v>183</v>
      </c>
      <c r="B178">
        <v>0</v>
      </c>
      <c r="C178" s="252" t="s">
        <v>418</v>
      </c>
      <c r="D178" s="253" t="s">
        <v>417</v>
      </c>
      <c r="E178" s="252" t="s">
        <v>107</v>
      </c>
      <c r="F178" s="252" t="s">
        <v>108</v>
      </c>
      <c r="G178" s="350">
        <v>4</v>
      </c>
      <c r="H178" s="351">
        <v>3</v>
      </c>
      <c r="I178">
        <v>0</v>
      </c>
      <c r="J178">
        <v>0</v>
      </c>
      <c r="K178" s="20">
        <v>0.95111675394427575</v>
      </c>
      <c r="L178" s="20">
        <v>2.2291005291005286</v>
      </c>
      <c r="M178" s="20">
        <v>2.3122161195603521</v>
      </c>
      <c r="N178" s="20">
        <v>2.0319400065959403</v>
      </c>
      <c r="O178" s="311">
        <v>-23</v>
      </c>
      <c r="P178" s="20">
        <v>1.2313207011843375</v>
      </c>
      <c r="Q178" s="20">
        <v>1.4646553509039171</v>
      </c>
      <c r="R178" s="312">
        <v>58</v>
      </c>
      <c r="S178" s="20">
        <v>-9.0284129885510822E-2</v>
      </c>
      <c r="T178" s="20">
        <v>0.42572018706450798</v>
      </c>
      <c r="U178" s="20">
        <v>-2.6720779220779205</v>
      </c>
      <c r="V178" s="20">
        <v>-1.258116883116883</v>
      </c>
      <c r="W178" s="312">
        <v>-2</v>
      </c>
      <c r="X178" s="313">
        <v>33</v>
      </c>
      <c r="Y178" s="236">
        <f>20.3589398861591-((((AVERAGE(K178:N178)+AVERAGE(Q178+AVERAGE(S178:V178))))))</f>
        <v>17.911880869958861</v>
      </c>
    </row>
    <row r="179" spans="1:102">
      <c r="A179">
        <v>184</v>
      </c>
      <c r="B179">
        <v>0</v>
      </c>
      <c r="C179" s="252" t="s">
        <v>476</v>
      </c>
      <c r="D179" s="253" t="s">
        <v>475</v>
      </c>
      <c r="E179" s="252" t="s">
        <v>107</v>
      </c>
      <c r="F179" s="252" t="s">
        <v>121</v>
      </c>
      <c r="G179" s="350">
        <v>4</v>
      </c>
      <c r="H179" s="351">
        <v>3</v>
      </c>
      <c r="I179">
        <v>0</v>
      </c>
      <c r="J179">
        <v>0</v>
      </c>
      <c r="K179" s="305">
        <v>0.42267364021161935</v>
      </c>
      <c r="L179" s="305">
        <v>-0.38397959183673525</v>
      </c>
      <c r="M179" s="305">
        <v>2.2250513059566899</v>
      </c>
      <c r="N179" s="305">
        <v>0.86235000286434627</v>
      </c>
      <c r="O179" s="311">
        <v>-12</v>
      </c>
      <c r="P179" s="305">
        <v>1.6714689140825501</v>
      </c>
      <c r="Q179" s="305">
        <v>-1.3914789668400518</v>
      </c>
      <c r="R179" s="312">
        <v>-4</v>
      </c>
      <c r="S179" s="305">
        <v>0.40300729376956834</v>
      </c>
      <c r="T179" s="305">
        <v>-0.8898814219070692</v>
      </c>
      <c r="U179" s="305">
        <v>-2.2295918367346959</v>
      </c>
      <c r="V179" s="305">
        <v>-2.3469387755102034</v>
      </c>
      <c r="W179" s="312">
        <v>8</v>
      </c>
      <c r="X179" s="313">
        <v>-8</v>
      </c>
      <c r="Y179" s="236">
        <f>16.1736100387967-((((AVERAGE(K179:N179)+AVERAGE(Q179+AVERAGE(S179:V179))))))</f>
        <v>18.049416351433372</v>
      </c>
    </row>
    <row r="180" spans="1:102" s="263" customFormat="1">
      <c r="A180">
        <v>186</v>
      </c>
      <c r="B180">
        <v>0</v>
      </c>
      <c r="C180" s="252" t="s">
        <v>640</v>
      </c>
      <c r="D180" s="253" t="s">
        <v>639</v>
      </c>
      <c r="E180" s="252" t="s">
        <v>109</v>
      </c>
      <c r="F180" s="252" t="s">
        <v>117</v>
      </c>
      <c r="G180" s="350">
        <v>2</v>
      </c>
      <c r="H180" s="351">
        <v>3</v>
      </c>
      <c r="I180">
        <v>0</v>
      </c>
      <c r="J180">
        <v>0</v>
      </c>
      <c r="K180" s="20">
        <v>-1.9566242781722938</v>
      </c>
      <c r="L180" s="20">
        <v>0.83928571428571441</v>
      </c>
      <c r="M180" s="20">
        <v>-2.7297072216583325</v>
      </c>
      <c r="N180" s="20">
        <v>-1.6790803534663681</v>
      </c>
      <c r="O180" s="311">
        <v>-5</v>
      </c>
      <c r="P180" s="20">
        <v>0.63811371877280987</v>
      </c>
      <c r="Q180" s="20">
        <v>2.1112723960997828</v>
      </c>
      <c r="R180" s="312">
        <v>22</v>
      </c>
      <c r="S180" s="20">
        <v>-1.6836026059681708</v>
      </c>
      <c r="T180" s="20">
        <v>-0.10625737952339698</v>
      </c>
      <c r="U180" s="20">
        <v>-3.3928571428571423</v>
      </c>
      <c r="V180" s="20">
        <v>-2.5</v>
      </c>
      <c r="W180" s="312">
        <v>-18</v>
      </c>
      <c r="X180" s="313">
        <v>-1</v>
      </c>
      <c r="Y180" s="236">
        <f>17.6548800582278-((((AVERAGE(K180:N180)+AVERAGE(Q180+AVERAGE(S180:V180))))))</f>
        <v>18.845818478968013</v>
      </c>
      <c r="Z180" s="13"/>
      <c r="AA180" s="13"/>
      <c r="AB180" s="13"/>
      <c r="AC180" s="13"/>
      <c r="AD180" s="13"/>
      <c r="AE180" s="13"/>
      <c r="AF180" s="13"/>
      <c r="AG180" s="13"/>
      <c r="AH180" s="13"/>
      <c r="AI180" s="13"/>
      <c r="AJ180" s="13"/>
      <c r="AK180" s="13"/>
      <c r="AL180" s="13"/>
      <c r="AM180" s="13"/>
      <c r="AN180" s="13"/>
      <c r="AO180" s="13"/>
      <c r="AP180" s="13"/>
      <c r="AQ180" s="13"/>
      <c r="AR180" s="13"/>
      <c r="AS180" s="13"/>
      <c r="AT180" s="13"/>
      <c r="AU180" s="13"/>
      <c r="AV180" s="13"/>
      <c r="AW180" s="13"/>
      <c r="AX180" s="13"/>
      <c r="AY180" s="13"/>
      <c r="AZ180" s="13"/>
      <c r="BA180" s="13"/>
      <c r="BB180" s="13"/>
      <c r="BC180" s="13"/>
      <c r="BD180" s="13"/>
      <c r="BE180" s="13"/>
      <c r="BF180" s="13"/>
      <c r="BG180" s="13"/>
      <c r="BH180" s="13"/>
      <c r="BI180" s="13"/>
      <c r="BJ180" s="13"/>
      <c r="BK180" s="13"/>
      <c r="BL180" s="13"/>
      <c r="BM180" s="13"/>
      <c r="BN180" s="13"/>
      <c r="BO180" s="13"/>
      <c r="BP180" s="13"/>
      <c r="BQ180" s="13"/>
      <c r="BR180" s="13"/>
      <c r="BS180" s="13"/>
      <c r="BT180" s="13"/>
      <c r="BU180" s="13"/>
      <c r="BV180" s="13"/>
      <c r="BW180" s="13"/>
      <c r="BX180" s="13"/>
      <c r="BY180" s="13"/>
      <c r="BZ180" s="13"/>
      <c r="CA180" s="13"/>
      <c r="CB180" s="13"/>
      <c r="CC180" s="13"/>
      <c r="CD180" s="13"/>
      <c r="CE180" s="13"/>
      <c r="CF180" s="13"/>
      <c r="CG180" s="13"/>
      <c r="CH180" s="13"/>
      <c r="CI180" s="13"/>
      <c r="CJ180" s="13"/>
      <c r="CK180" s="13"/>
      <c r="CL180" s="13"/>
      <c r="CM180" s="13"/>
      <c r="CN180" s="13"/>
      <c r="CO180" s="13"/>
      <c r="CP180" s="13"/>
      <c r="CQ180" s="13"/>
      <c r="CR180" s="13"/>
      <c r="CS180" s="13"/>
      <c r="CT180" s="13"/>
      <c r="CU180" s="13"/>
      <c r="CV180" s="13"/>
      <c r="CW180" s="13"/>
      <c r="CX180" s="13"/>
    </row>
    <row r="181" spans="1:102">
      <c r="A181">
        <v>188</v>
      </c>
      <c r="B181">
        <v>0</v>
      </c>
      <c r="C181" s="252" t="s">
        <v>596</v>
      </c>
      <c r="D181" s="253" t="s">
        <v>595</v>
      </c>
      <c r="E181" s="252" t="s">
        <v>115</v>
      </c>
      <c r="F181" s="252" t="s">
        <v>116</v>
      </c>
      <c r="G181" s="350">
        <v>2</v>
      </c>
      <c r="H181" s="351">
        <v>2</v>
      </c>
      <c r="I181">
        <v>0</v>
      </c>
      <c r="J181">
        <v>0</v>
      </c>
      <c r="K181" s="20">
        <v>-0.51289133389908237</v>
      </c>
      <c r="L181" s="20">
        <v>-4.492063492063493</v>
      </c>
      <c r="M181" s="20">
        <v>-0.47358196043012146</v>
      </c>
      <c r="N181" s="20">
        <v>-0.25616588775008076</v>
      </c>
      <c r="O181" s="311">
        <v>-1</v>
      </c>
      <c r="P181" s="20">
        <v>-0.76537486167031599</v>
      </c>
      <c r="Q181" s="20">
        <v>-3.0349363527538609</v>
      </c>
      <c r="R181" s="312">
        <v>-1</v>
      </c>
      <c r="S181" s="20">
        <v>-0.54927805303636479</v>
      </c>
      <c r="T181" s="20">
        <v>-0.92759925713310576</v>
      </c>
      <c r="U181" s="20">
        <v>1.0119047619047628</v>
      </c>
      <c r="V181" s="20">
        <v>-1.5873015873015861</v>
      </c>
      <c r="W181" s="312">
        <v>1</v>
      </c>
      <c r="X181" s="313">
        <v>-1</v>
      </c>
      <c r="Y181" s="236">
        <f>14.8657341483963-((((AVERAGE(K181:N181)+AVERAGE(Q181+AVERAGE(S181:V181))))))</f>
        <v>19.847414703577428</v>
      </c>
    </row>
    <row r="182" spans="1:102">
      <c r="A182">
        <v>190</v>
      </c>
      <c r="B182">
        <v>0</v>
      </c>
      <c r="C182" s="252" t="s">
        <v>420</v>
      </c>
      <c r="D182" s="253" t="s">
        <v>419</v>
      </c>
      <c r="E182" s="252" t="s">
        <v>109</v>
      </c>
      <c r="F182" s="252" t="s">
        <v>141</v>
      </c>
      <c r="G182" s="350">
        <v>3</v>
      </c>
      <c r="H182" s="351">
        <v>3</v>
      </c>
      <c r="I182">
        <v>0</v>
      </c>
      <c r="J182">
        <v>0</v>
      </c>
      <c r="K182" s="20">
        <v>0.13648373936317437</v>
      </c>
      <c r="L182" s="20">
        <v>0.79992063492063537</v>
      </c>
      <c r="M182" s="20">
        <v>-1.424456423928341</v>
      </c>
      <c r="N182" s="20">
        <v>-0.5334297259166334</v>
      </c>
      <c r="O182" s="311">
        <v>3</v>
      </c>
      <c r="P182" s="20">
        <v>-0.11492238233147312</v>
      </c>
      <c r="Q182" s="20">
        <v>0.15582824113780891</v>
      </c>
      <c r="R182" s="312">
        <v>15</v>
      </c>
      <c r="S182" s="20">
        <v>0.52665824207134326</v>
      </c>
      <c r="T182" s="20">
        <v>-0.45549796190270797</v>
      </c>
      <c r="U182" s="20">
        <v>0.58333333333333393</v>
      </c>
      <c r="V182" s="20">
        <v>2.1428571428571432</v>
      </c>
      <c r="W182" s="312">
        <v>16</v>
      </c>
      <c r="X182" s="313">
        <v>34</v>
      </c>
      <c r="Y182" s="236">
        <f>17.8383014090765-((((AVERAGE(K182:N182)+AVERAGE(Q182+AVERAGE(S182:V182))))))</f>
        <v>17.238505922739204</v>
      </c>
    </row>
    <row r="183" spans="1:102">
      <c r="A183" s="255">
        <v>146</v>
      </c>
      <c r="B183">
        <v>0</v>
      </c>
      <c r="C183" s="252" t="s">
        <v>356</v>
      </c>
      <c r="D183" s="253" t="s">
        <v>163</v>
      </c>
      <c r="E183" s="252" t="s">
        <v>115</v>
      </c>
      <c r="F183" s="252" t="s">
        <v>118</v>
      </c>
      <c r="G183" s="350">
        <v>3</v>
      </c>
      <c r="H183" s="351">
        <v>3</v>
      </c>
      <c r="I183">
        <v>0</v>
      </c>
      <c r="J183">
        <v>0</v>
      </c>
      <c r="K183" s="20">
        <v>-2.7909976883307701</v>
      </c>
      <c r="L183" s="20">
        <v>-4.9047619047619051</v>
      </c>
      <c r="M183" s="20">
        <v>-2.2607326611725318</v>
      </c>
      <c r="N183" s="20">
        <v>-0.32625461388174593</v>
      </c>
      <c r="O183" s="311">
        <v>32</v>
      </c>
      <c r="P183" s="20">
        <v>7.743303666030954E-2</v>
      </c>
      <c r="Q183" s="20">
        <v>-6.4275169061420145</v>
      </c>
      <c r="R183" s="312">
        <v>-7</v>
      </c>
      <c r="S183" s="20">
        <v>-2.0026574416385032</v>
      </c>
      <c r="T183" s="20">
        <v>-0.78283012625924764</v>
      </c>
      <c r="U183" s="20">
        <v>-0.66666666666666696</v>
      </c>
      <c r="V183" s="20">
        <v>-0.17857142857142971</v>
      </c>
      <c r="W183" s="312">
        <v>30</v>
      </c>
      <c r="X183" s="313">
        <v>55</v>
      </c>
      <c r="Y183" s="236">
        <f>8.16413629589805-((((AVERAGE(K183:N183)+AVERAGE(Q183+AVERAGE(S183:V183))))))</f>
        <v>18.070021334860765</v>
      </c>
    </row>
    <row r="184" spans="1:102">
      <c r="A184">
        <v>193</v>
      </c>
      <c r="B184">
        <v>0</v>
      </c>
      <c r="C184" s="252" t="s">
        <v>360</v>
      </c>
      <c r="D184" s="253" t="s">
        <v>164</v>
      </c>
      <c r="E184" s="252" t="s">
        <v>115</v>
      </c>
      <c r="F184" s="252" t="s">
        <v>116</v>
      </c>
      <c r="G184" s="350">
        <v>2</v>
      </c>
      <c r="H184" s="351">
        <v>2</v>
      </c>
      <c r="I184">
        <v>0</v>
      </c>
      <c r="J184">
        <v>0</v>
      </c>
      <c r="K184" s="305">
        <v>-0.82238061785988403</v>
      </c>
      <c r="L184" s="305">
        <v>3.4214285714285708</v>
      </c>
      <c r="M184" s="305">
        <v>-0.47818535821703034</v>
      </c>
      <c r="N184" s="305">
        <v>-1.866192096662699</v>
      </c>
      <c r="O184" s="311">
        <v>-10</v>
      </c>
      <c r="P184" s="305">
        <v>1.1447793788702887</v>
      </c>
      <c r="Q184" s="305">
        <v>2.3207351313051863</v>
      </c>
      <c r="R184" s="312">
        <v>5</v>
      </c>
      <c r="S184" s="305">
        <v>-1.0820526791019813</v>
      </c>
      <c r="T184" s="305">
        <v>-1.3397679225836079</v>
      </c>
      <c r="U184" s="305">
        <v>0.71428571428571441</v>
      </c>
      <c r="V184" s="305">
        <v>-0.47619047619047539</v>
      </c>
      <c r="W184" s="312">
        <v>24</v>
      </c>
      <c r="X184" s="313">
        <v>19</v>
      </c>
      <c r="Y184" s="236">
        <f>18.2343733586408-((((AVERAGE(K184:N184)+AVERAGE(Q184+AVERAGE(S184:V184))))))</f>
        <v>16.395901943560961</v>
      </c>
    </row>
    <row r="185" spans="1:102">
      <c r="A185">
        <v>194</v>
      </c>
      <c r="B185">
        <v>0</v>
      </c>
      <c r="C185" s="252" t="s">
        <v>652</v>
      </c>
      <c r="D185" s="253" t="s">
        <v>165</v>
      </c>
      <c r="E185" s="252" t="s">
        <v>119</v>
      </c>
      <c r="F185" s="252" t="s">
        <v>125</v>
      </c>
      <c r="G185" s="350">
        <v>3</v>
      </c>
      <c r="H185" s="351">
        <v>3</v>
      </c>
      <c r="I185">
        <v>0</v>
      </c>
      <c r="J185">
        <v>0</v>
      </c>
      <c r="K185" s="305">
        <v>-2.2257857461964061</v>
      </c>
      <c r="L185" s="305">
        <v>-2.2019047619047618</v>
      </c>
      <c r="M185" s="305">
        <v>-1.6186333871311951</v>
      </c>
      <c r="N185" s="305">
        <v>-0.23299036688704966</v>
      </c>
      <c r="O185" s="311">
        <v>22</v>
      </c>
      <c r="P185" s="305">
        <v>4.3633526406255285E-2</v>
      </c>
      <c r="Q185" s="305">
        <v>0.58814424974703172</v>
      </c>
      <c r="R185" s="312">
        <v>20</v>
      </c>
      <c r="S185" s="305">
        <v>-3.0001304819655239</v>
      </c>
      <c r="T185" s="305">
        <v>-0.40426653376472466</v>
      </c>
      <c r="U185" s="305">
        <v>-1.9523809523809534</v>
      </c>
      <c r="V185" s="305">
        <v>-0.5952380952380949</v>
      </c>
      <c r="W185" s="312">
        <v>-2</v>
      </c>
      <c r="X185" s="313">
        <v>40</v>
      </c>
      <c r="Y185" s="236">
        <f>16.3833572025892-((((AVERAGE(K185:N185)+AVERAGE(Q185+AVERAGE(S185:V185))))))</f>
        <v>18.853045534209343</v>
      </c>
    </row>
    <row r="186" spans="1:102" s="263" customFormat="1">
      <c r="A186">
        <v>195</v>
      </c>
      <c r="B186">
        <v>0</v>
      </c>
      <c r="C186" s="252" t="s">
        <v>408</v>
      </c>
      <c r="D186" s="253" t="s">
        <v>407</v>
      </c>
      <c r="E186" s="252" t="s">
        <v>119</v>
      </c>
      <c r="F186" s="252" t="s">
        <v>136</v>
      </c>
      <c r="G186" s="350">
        <v>1</v>
      </c>
      <c r="H186" s="351">
        <v>3</v>
      </c>
      <c r="I186">
        <v>0</v>
      </c>
      <c r="J186">
        <v>0</v>
      </c>
      <c r="K186" s="20">
        <v>-1.2114100265921062</v>
      </c>
      <c r="L186" s="20">
        <v>9.3048469387754906E-2</v>
      </c>
      <c r="M186" s="20">
        <v>-1.5202999740797556</v>
      </c>
      <c r="N186" s="20">
        <v>1.1334252789656869</v>
      </c>
      <c r="O186" s="311">
        <v>-6</v>
      </c>
      <c r="P186" s="20">
        <v>-0.39814815403451753</v>
      </c>
      <c r="Q186" s="20">
        <v>0.72725092100807576</v>
      </c>
      <c r="R186" s="312">
        <v>12</v>
      </c>
      <c r="S186" s="20">
        <v>-1.8804977439245096</v>
      </c>
      <c r="T186" s="20">
        <v>-0.44064663669744419</v>
      </c>
      <c r="U186" s="20">
        <v>0.88640873015873023</v>
      </c>
      <c r="V186" s="20">
        <v>5.0680272108843543</v>
      </c>
      <c r="W186" s="312">
        <v>-6</v>
      </c>
      <c r="X186" s="313">
        <v>0</v>
      </c>
      <c r="Y186" s="236">
        <f>18.9863914526722-((((AVERAGE(K186:N186)+AVERAGE(Q186+AVERAGE(S186:V186))))))</f>
        <v>17.727126704638447</v>
      </c>
      <c r="Z186" s="13"/>
      <c r="AA186" s="13"/>
      <c r="AB186" s="13"/>
      <c r="AC186" s="13"/>
      <c r="AD186" s="13"/>
      <c r="AE186" s="13"/>
      <c r="AF186" s="13"/>
      <c r="AG186" s="13"/>
      <c r="AH186" s="13"/>
      <c r="AI186" s="13"/>
      <c r="AJ186" s="13"/>
      <c r="AK186" s="13"/>
      <c r="AL186" s="13"/>
      <c r="AM186" s="13"/>
      <c r="AN186" s="13"/>
      <c r="AO186" s="13"/>
      <c r="AP186" s="13"/>
      <c r="AQ186" s="13"/>
      <c r="AR186" s="13"/>
      <c r="AS186" s="13"/>
      <c r="AT186" s="13"/>
      <c r="AU186" s="13"/>
      <c r="AV186" s="13"/>
      <c r="AW186" s="13"/>
      <c r="AX186" s="13"/>
      <c r="AY186" s="13"/>
      <c r="AZ186" s="13"/>
      <c r="BA186" s="13"/>
      <c r="BB186" s="13"/>
      <c r="BC186" s="13"/>
      <c r="BD186" s="13"/>
      <c r="BE186" s="13"/>
      <c r="BF186" s="13"/>
      <c r="BG186" s="13"/>
      <c r="BH186" s="13"/>
      <c r="BI186" s="13"/>
      <c r="BJ186" s="13"/>
      <c r="BK186" s="13"/>
      <c r="BL186" s="13"/>
      <c r="BM186" s="13"/>
      <c r="BN186" s="13"/>
      <c r="BO186" s="13"/>
      <c r="BP186" s="13"/>
      <c r="BQ186" s="13"/>
      <c r="BR186" s="13"/>
      <c r="BS186" s="13"/>
      <c r="BT186" s="13"/>
      <c r="BU186" s="13"/>
      <c r="BV186" s="13"/>
      <c r="BW186" s="13"/>
      <c r="BX186" s="13"/>
      <c r="BY186" s="13"/>
      <c r="BZ186" s="13"/>
      <c r="CA186" s="13"/>
      <c r="CB186" s="13"/>
      <c r="CC186" s="13"/>
      <c r="CD186" s="13"/>
      <c r="CE186" s="13"/>
      <c r="CF186" s="13"/>
      <c r="CG186" s="13"/>
      <c r="CH186" s="13"/>
      <c r="CI186" s="13"/>
      <c r="CJ186" s="13"/>
      <c r="CK186" s="13"/>
      <c r="CL186" s="13"/>
      <c r="CM186" s="13"/>
      <c r="CN186" s="13"/>
      <c r="CO186" s="13"/>
      <c r="CP186" s="13"/>
      <c r="CQ186" s="13"/>
      <c r="CR186" s="13"/>
      <c r="CS186" s="13"/>
      <c r="CT186" s="13"/>
      <c r="CU186" s="13"/>
      <c r="CV186" s="13"/>
      <c r="CW186" s="13"/>
      <c r="CX186" s="13"/>
    </row>
    <row r="187" spans="1:102">
      <c r="A187" s="340">
        <v>196</v>
      </c>
      <c r="B187" s="335">
        <v>0</v>
      </c>
      <c r="C187" s="336" t="s">
        <v>319</v>
      </c>
      <c r="D187" s="336" t="s">
        <v>318</v>
      </c>
      <c r="E187" s="335" t="s">
        <v>113</v>
      </c>
      <c r="F187" s="335" t="s">
        <v>140</v>
      </c>
      <c r="G187" s="350">
        <v>3</v>
      </c>
      <c r="H187" s="354">
        <v>3</v>
      </c>
      <c r="I187">
        <v>0</v>
      </c>
      <c r="J187" s="265">
        <v>0</v>
      </c>
      <c r="K187" s="20">
        <v>0.4578032234640963</v>
      </c>
      <c r="L187" s="20">
        <v>4.3273809523809526</v>
      </c>
      <c r="M187" s="20">
        <v>0.21072414613399459</v>
      </c>
      <c r="N187" s="20">
        <v>-0.27690991264852904</v>
      </c>
      <c r="O187" s="298">
        <v>-5</v>
      </c>
      <c r="P187" s="20">
        <v>6.3695415695415694</v>
      </c>
      <c r="Q187" s="20">
        <v>6.062717770034844</v>
      </c>
      <c r="R187" s="312">
        <v>-16</v>
      </c>
      <c r="S187" s="20">
        <v>1.305021439525849</v>
      </c>
      <c r="T187" s="20">
        <v>3.6547619047619051</v>
      </c>
      <c r="U187" s="20">
        <v>2.875</v>
      </c>
      <c r="V187" s="20">
        <v>3.0952380952380949</v>
      </c>
      <c r="W187" s="312">
        <v>-17</v>
      </c>
      <c r="X187" s="313">
        <v>-38</v>
      </c>
      <c r="Y187" s="236">
        <f>17.6703324616444-((((AVERAGE(K187:N187)+AVERAGE(Q187+AVERAGE(S187:V187))))))</f>
        <v>7.6953597293954648</v>
      </c>
    </row>
    <row r="188" spans="1:102">
      <c r="A188" s="25">
        <v>129</v>
      </c>
      <c r="B188" s="25">
        <v>0</v>
      </c>
      <c r="C188" s="253" t="s">
        <v>370</v>
      </c>
      <c r="D188" s="253" t="s">
        <v>369</v>
      </c>
      <c r="E188" s="253" t="s">
        <v>119</v>
      </c>
      <c r="F188" s="253" t="s">
        <v>136</v>
      </c>
      <c r="G188" s="350">
        <v>3</v>
      </c>
      <c r="H188" s="351">
        <v>3</v>
      </c>
      <c r="I188">
        <v>0</v>
      </c>
      <c r="J188">
        <v>0</v>
      </c>
      <c r="K188" s="20">
        <v>0.81840417392606657</v>
      </c>
      <c r="L188" s="20">
        <v>0.86190476190476151</v>
      </c>
      <c r="M188" s="20">
        <v>-0.51937380343559858</v>
      </c>
      <c r="N188" s="20">
        <v>-0.34324178692979324</v>
      </c>
      <c r="O188" s="311">
        <v>-38</v>
      </c>
      <c r="P188" s="20">
        <v>0.29613888300252</v>
      </c>
      <c r="Q188" s="20">
        <v>0.3628898847145452</v>
      </c>
      <c r="R188" s="312">
        <v>0</v>
      </c>
      <c r="S188" s="20">
        <v>-5.573131789455843E-2</v>
      </c>
      <c r="T188" s="20">
        <v>-0.3730157571502204</v>
      </c>
      <c r="U188" s="20">
        <v>-0.47619047619047539</v>
      </c>
      <c r="V188" s="20">
        <v>2.6190476190476204</v>
      </c>
      <c r="W188" s="312">
        <v>-21</v>
      </c>
      <c r="X188" s="313">
        <v>-59</v>
      </c>
      <c r="Y188" s="236">
        <f>18.3321888128047-((((AVERAGE(K188:N188)+AVERAGE(Q188+AVERAGE(S188:V188))))))</f>
        <v>17.336348074770704</v>
      </c>
    </row>
    <row r="189" spans="1:102">
      <c r="A189" s="25">
        <v>133</v>
      </c>
      <c r="B189" s="25">
        <v>0</v>
      </c>
      <c r="C189" s="253" t="s">
        <v>466</v>
      </c>
      <c r="D189" s="253" t="s">
        <v>168</v>
      </c>
      <c r="E189" s="253" t="s">
        <v>113</v>
      </c>
      <c r="F189" s="253" t="s">
        <v>114</v>
      </c>
      <c r="G189" s="350">
        <v>4</v>
      </c>
      <c r="H189" s="351">
        <v>3</v>
      </c>
      <c r="I189">
        <v>0</v>
      </c>
      <c r="J189">
        <v>0</v>
      </c>
      <c r="K189" s="20">
        <v>0.27340296808084119</v>
      </c>
      <c r="L189" s="20">
        <v>-1.8314285714285723</v>
      </c>
      <c r="M189" s="20">
        <v>-0.43284554266544029</v>
      </c>
      <c r="N189" s="20">
        <v>-0.48065183074933593</v>
      </c>
      <c r="O189" s="311">
        <v>19</v>
      </c>
      <c r="P189" s="20">
        <v>0.36443517929881608</v>
      </c>
      <c r="Q189" s="20">
        <v>-3.309070800242786E-3</v>
      </c>
      <c r="R189" s="312">
        <v>8</v>
      </c>
      <c r="S189" s="20">
        <v>0.72410871685326983</v>
      </c>
      <c r="T189" s="20">
        <v>-0.36218986892705818</v>
      </c>
      <c r="U189" s="20">
        <v>-0.5238095238095255</v>
      </c>
      <c r="V189" s="20">
        <v>-0.7142857142857153</v>
      </c>
      <c r="W189" s="312">
        <v>36</v>
      </c>
      <c r="X189" s="313">
        <v>63</v>
      </c>
      <c r="Y189" s="236">
        <f>16.9376995198233-((((AVERAGE(K189:N189)+AVERAGE(Q189+AVERAGE(S189:V189))))))</f>
        <v>17.777933432356427</v>
      </c>
    </row>
    <row r="190" spans="1:102">
      <c r="A190" s="25">
        <v>180</v>
      </c>
      <c r="B190" s="25">
        <v>0</v>
      </c>
      <c r="C190" s="253" t="s">
        <v>636</v>
      </c>
      <c r="D190" s="253" t="s">
        <v>635</v>
      </c>
      <c r="E190" s="253" t="s">
        <v>107</v>
      </c>
      <c r="F190" s="253" t="s">
        <v>108</v>
      </c>
      <c r="G190" s="350">
        <v>3</v>
      </c>
      <c r="H190" s="351">
        <v>3</v>
      </c>
      <c r="I190">
        <v>0</v>
      </c>
      <c r="J190">
        <v>0</v>
      </c>
      <c r="K190" s="305">
        <v>-0.30190978047513628</v>
      </c>
      <c r="L190" s="305">
        <v>-0.51579506802721031</v>
      </c>
      <c r="M190" s="305">
        <v>-0.71146760978034163</v>
      </c>
      <c r="N190" s="305">
        <v>-0.34591930368246082</v>
      </c>
      <c r="O190" s="311">
        <v>12</v>
      </c>
      <c r="P190" s="305">
        <v>0.12835184596548288</v>
      </c>
      <c r="Q190" s="305">
        <v>0.18141173692589962</v>
      </c>
      <c r="R190" s="312">
        <v>14</v>
      </c>
      <c r="S190" s="305">
        <v>1.5840661918103418</v>
      </c>
      <c r="T190" s="305">
        <v>-1.363832044161394</v>
      </c>
      <c r="U190" s="305">
        <v>-1.0183531746031758</v>
      </c>
      <c r="V190" s="305">
        <v>0.74829931972789154</v>
      </c>
      <c r="W190" s="312">
        <v>0</v>
      </c>
      <c r="X190" s="313">
        <v>26</v>
      </c>
      <c r="Y190" s="236">
        <f>19.8398645659683-((((AVERAGE(K190:N190)+AVERAGE(Q190+AVERAGE(S190:V190))))))</f>
        <v>20.139680696340271</v>
      </c>
    </row>
    <row r="191" spans="1:102">
      <c r="A191" s="25">
        <v>187</v>
      </c>
      <c r="B191" s="25">
        <v>0</v>
      </c>
      <c r="C191" s="253" t="s">
        <v>416</v>
      </c>
      <c r="D191" s="253" t="s">
        <v>415</v>
      </c>
      <c r="E191" s="253" t="s">
        <v>107</v>
      </c>
      <c r="F191" s="253" t="s">
        <v>108</v>
      </c>
      <c r="G191" s="350">
        <v>4</v>
      </c>
      <c r="H191" s="351">
        <v>3</v>
      </c>
      <c r="I191">
        <v>0</v>
      </c>
      <c r="J191">
        <v>0</v>
      </c>
      <c r="K191" s="305">
        <v>-3.9458344361777087E-2</v>
      </c>
      <c r="L191" s="305">
        <v>-0.38214285714285623</v>
      </c>
      <c r="M191" s="305">
        <v>-0.98080044005555167</v>
      </c>
      <c r="N191" s="305">
        <v>0.27489746204912802</v>
      </c>
      <c r="O191" s="311">
        <v>4</v>
      </c>
      <c r="P191" s="305">
        <v>0.42005809846718911</v>
      </c>
      <c r="Q191" s="305">
        <v>0.39928390965666516</v>
      </c>
      <c r="R191" s="312">
        <v>-7</v>
      </c>
      <c r="S191" s="305">
        <v>3.3324185728269229</v>
      </c>
      <c r="T191" s="305">
        <v>-0.53909969560262638</v>
      </c>
      <c r="U191" s="305">
        <v>-0.81547619047619069</v>
      </c>
      <c r="V191" s="305">
        <v>0</v>
      </c>
      <c r="W191" s="312">
        <v>1</v>
      </c>
      <c r="X191" s="313">
        <v>-2</v>
      </c>
      <c r="Y191" s="236">
        <f>18.8940898029708-((((AVERAGE(K191:N191)+AVERAGE(Q191+AVERAGE(S191:V191))))))</f>
        <v>18.282221266504873</v>
      </c>
    </row>
    <row r="192" spans="1:102" s="263" customFormat="1">
      <c r="A192" s="25">
        <v>192</v>
      </c>
      <c r="B192" s="25">
        <v>0</v>
      </c>
      <c r="C192" s="253" t="s">
        <v>247</v>
      </c>
      <c r="D192" s="253" t="s">
        <v>246</v>
      </c>
      <c r="E192" s="253" t="s">
        <v>107</v>
      </c>
      <c r="F192" s="253" t="s">
        <v>108</v>
      </c>
      <c r="G192" s="350">
        <v>4</v>
      </c>
      <c r="H192" s="351">
        <v>4</v>
      </c>
      <c r="I192">
        <v>0</v>
      </c>
      <c r="J192">
        <v>0</v>
      </c>
      <c r="K192" s="20">
        <v>-0.92399734745635786</v>
      </c>
      <c r="L192" s="20">
        <v>-0.25666666666666682</v>
      </c>
      <c r="M192" s="20">
        <v>-1.1665413752366556</v>
      </c>
      <c r="N192" s="20">
        <v>0.24551163245687757</v>
      </c>
      <c r="O192" s="311">
        <v>24</v>
      </c>
      <c r="P192" s="20">
        <v>0.4986182159591257</v>
      </c>
      <c r="Q192" s="20">
        <v>-3.4062113294469398E-2</v>
      </c>
      <c r="R192" s="312">
        <v>3</v>
      </c>
      <c r="S192" s="20">
        <v>3.2347961021836227</v>
      </c>
      <c r="T192" s="20">
        <v>-0.12108962086420938</v>
      </c>
      <c r="U192" s="20">
        <v>-0.42261904761904923</v>
      </c>
      <c r="V192" s="20">
        <v>0.23809523809523814</v>
      </c>
      <c r="W192" s="312">
        <v>-11</v>
      </c>
      <c r="X192" s="313">
        <v>16</v>
      </c>
      <c r="Y192" s="236">
        <f>13.9582996377103-((((AVERAGE(K192:N192)+AVERAGE(Q192+AVERAGE(S192:V192))))))</f>
        <v>13.785489522281571</v>
      </c>
      <c r="Z192" s="13"/>
      <c r="AA192" s="13"/>
      <c r="AB192" s="13"/>
      <c r="AC192" s="13"/>
      <c r="AD192" s="13"/>
      <c r="AE192" s="13"/>
      <c r="AF192" s="13"/>
      <c r="AG192" s="13"/>
      <c r="AH192" s="13"/>
      <c r="AI192" s="13"/>
      <c r="AJ192" s="13"/>
      <c r="AK192" s="13"/>
      <c r="AL192" s="13"/>
      <c r="AM192" s="13"/>
      <c r="AN192" s="13"/>
      <c r="AO192" s="13"/>
      <c r="AP192" s="13"/>
      <c r="AQ192" s="13"/>
      <c r="AR192" s="13"/>
      <c r="AS192" s="13"/>
      <c r="AT192" s="13"/>
      <c r="AU192" s="13"/>
      <c r="AV192" s="13"/>
      <c r="AW192" s="13"/>
      <c r="AX192" s="13"/>
      <c r="AY192" s="13"/>
      <c r="AZ192" s="13"/>
      <c r="BA192" s="13"/>
      <c r="BB192" s="13"/>
      <c r="BC192" s="13"/>
      <c r="BD192" s="13"/>
      <c r="BE192" s="13"/>
      <c r="BF192" s="13"/>
      <c r="BG192" s="13"/>
      <c r="BH192" s="13"/>
      <c r="BI192" s="13"/>
      <c r="BJ192" s="13"/>
      <c r="BK192" s="13"/>
      <c r="BL192" s="13"/>
      <c r="BM192" s="13"/>
      <c r="BN192" s="13"/>
      <c r="BO192" s="13"/>
      <c r="BP192" s="13"/>
      <c r="BQ192" s="13"/>
      <c r="BR192" s="13"/>
      <c r="BS192" s="13"/>
      <c r="BT192" s="13"/>
      <c r="BU192" s="13"/>
      <c r="BV192" s="13"/>
      <c r="BW192" s="13"/>
      <c r="BX192" s="13"/>
      <c r="BY192" s="13"/>
      <c r="BZ192" s="13"/>
      <c r="CA192" s="13"/>
      <c r="CB192" s="13"/>
      <c r="CC192" s="13"/>
      <c r="CD192" s="13"/>
      <c r="CE192" s="13"/>
      <c r="CF192" s="13"/>
      <c r="CG192" s="13"/>
      <c r="CH192" s="13"/>
      <c r="CI192" s="13"/>
      <c r="CJ192" s="13"/>
      <c r="CK192" s="13"/>
      <c r="CL192" s="13"/>
      <c r="CM192" s="13"/>
      <c r="CN192" s="13"/>
      <c r="CO192" s="13"/>
      <c r="CP192" s="13"/>
      <c r="CQ192" s="13"/>
      <c r="CR192" s="13"/>
      <c r="CS192" s="13"/>
      <c r="CT192" s="13"/>
      <c r="CU192" s="13"/>
      <c r="CV192" s="13"/>
      <c r="CW192" s="13"/>
      <c r="CX192" s="13"/>
    </row>
    <row r="193" spans="1:25" s="23" customFormat="1">
      <c r="A193" s="23">
        <v>123</v>
      </c>
      <c r="B193" s="23">
        <v>2</v>
      </c>
      <c r="C193" s="331" t="s">
        <v>149</v>
      </c>
      <c r="D193" s="332" t="s">
        <v>150</v>
      </c>
      <c r="E193" s="332" t="s">
        <v>119</v>
      </c>
      <c r="F193" s="332" t="s">
        <v>136</v>
      </c>
      <c r="G193" s="356"/>
      <c r="H193" s="356"/>
      <c r="I193" s="23">
        <v>0</v>
      </c>
      <c r="J193" s="23">
        <v>0</v>
      </c>
      <c r="K193" s="348">
        <v>0</v>
      </c>
      <c r="L193" s="348">
        <v>0</v>
      </c>
      <c r="M193" s="348">
        <v>0</v>
      </c>
      <c r="N193" s="348">
        <v>0</v>
      </c>
      <c r="O193" s="349">
        <v>0</v>
      </c>
      <c r="P193" s="348">
        <v>0</v>
      </c>
      <c r="Q193" s="348">
        <v>0</v>
      </c>
      <c r="R193" s="349">
        <v>0</v>
      </c>
      <c r="S193" s="348">
        <v>0</v>
      </c>
      <c r="T193" s="348">
        <v>7.9199950920973539E-2</v>
      </c>
      <c r="U193" s="348">
        <v>0</v>
      </c>
      <c r="V193" s="348">
        <v>0</v>
      </c>
      <c r="W193" s="349">
        <v>0</v>
      </c>
      <c r="X193" s="349">
        <v>0</v>
      </c>
      <c r="Y193" s="323">
        <f>3.01979998773024-((((AVERAGE(K193:N193)+AVERAGE(Q193+AVERAGE(S193:V193))))))</f>
        <v>2.9999999999999969</v>
      </c>
    </row>
    <row r="194" spans="1:25" s="23" customFormat="1">
      <c r="A194" s="23">
        <v>127</v>
      </c>
      <c r="B194" s="23">
        <v>2</v>
      </c>
      <c r="C194" s="331" t="s">
        <v>151</v>
      </c>
      <c r="D194" s="332" t="s">
        <v>152</v>
      </c>
      <c r="E194" s="332" t="s">
        <v>119</v>
      </c>
      <c r="F194" s="332" t="s">
        <v>136</v>
      </c>
      <c r="G194" s="356"/>
      <c r="H194" s="356"/>
      <c r="I194" s="23">
        <v>0</v>
      </c>
      <c r="J194" s="23">
        <v>0</v>
      </c>
      <c r="K194" s="348">
        <v>0</v>
      </c>
      <c r="L194" s="348">
        <v>0</v>
      </c>
      <c r="M194" s="348">
        <v>0</v>
      </c>
      <c r="N194" s="348">
        <v>0</v>
      </c>
      <c r="O194" s="349">
        <v>0</v>
      </c>
      <c r="P194" s="348">
        <v>0</v>
      </c>
      <c r="Q194" s="348">
        <v>0</v>
      </c>
      <c r="R194" s="349">
        <v>0</v>
      </c>
      <c r="S194" s="348">
        <v>0</v>
      </c>
      <c r="T194" s="348">
        <v>0</v>
      </c>
      <c r="U194" s="348">
        <v>0</v>
      </c>
      <c r="V194" s="348">
        <v>0</v>
      </c>
      <c r="W194" s="349">
        <v>0</v>
      </c>
      <c r="X194" s="349">
        <v>0</v>
      </c>
      <c r="Y194" s="323">
        <f>3-((((AVERAGE(K194:N194)+AVERAGE(Q194+AVERAGE(S194:V194))))))</f>
        <v>3</v>
      </c>
    </row>
    <row r="195" spans="1:25" s="23" customFormat="1">
      <c r="A195" s="23">
        <v>182</v>
      </c>
      <c r="B195" s="23">
        <v>2</v>
      </c>
      <c r="C195" s="331" t="s">
        <v>158</v>
      </c>
      <c r="D195" s="332" t="s">
        <v>159</v>
      </c>
      <c r="E195" s="332" t="s">
        <v>119</v>
      </c>
      <c r="F195" s="332" t="s">
        <v>136</v>
      </c>
      <c r="G195" s="356"/>
      <c r="H195" s="356"/>
      <c r="I195" s="23">
        <v>0</v>
      </c>
      <c r="J195" s="23">
        <v>0</v>
      </c>
      <c r="K195" s="348">
        <v>0</v>
      </c>
      <c r="L195" s="348">
        <v>0</v>
      </c>
      <c r="M195" s="348">
        <v>0</v>
      </c>
      <c r="N195" s="348">
        <v>0</v>
      </c>
      <c r="O195" s="349">
        <v>0</v>
      </c>
      <c r="P195" s="348">
        <v>0</v>
      </c>
      <c r="Q195" s="348">
        <v>0</v>
      </c>
      <c r="R195" s="349">
        <v>0</v>
      </c>
      <c r="S195" s="348">
        <v>0</v>
      </c>
      <c r="T195" s="348">
        <v>8.074746800912358E-3</v>
      </c>
      <c r="U195" s="348">
        <v>0</v>
      </c>
      <c r="V195" s="348">
        <v>0</v>
      </c>
      <c r="W195" s="349">
        <v>0</v>
      </c>
      <c r="X195" s="349">
        <v>0</v>
      </c>
      <c r="Y195" s="323">
        <f>3.00201868670023-((((AVERAGE(K195:N195)+AVERAGE(Q195+AVERAGE(S195:V195))))))</f>
        <v>3.0000000000000018</v>
      </c>
    </row>
    <row r="196" spans="1:25" s="23" customFormat="1">
      <c r="A196" s="23">
        <v>191</v>
      </c>
      <c r="B196" s="23">
        <v>2</v>
      </c>
      <c r="C196" s="331" t="s">
        <v>161</v>
      </c>
      <c r="D196" s="332" t="s">
        <v>162</v>
      </c>
      <c r="E196" s="332" t="s">
        <v>111</v>
      </c>
      <c r="F196" s="332" t="s">
        <v>112</v>
      </c>
      <c r="G196" s="356"/>
      <c r="H196" s="356"/>
      <c r="I196" s="23">
        <v>0</v>
      </c>
      <c r="J196" s="23">
        <v>0</v>
      </c>
      <c r="K196" s="348">
        <v>0</v>
      </c>
      <c r="L196" s="348">
        <v>0</v>
      </c>
      <c r="M196" s="348">
        <v>0</v>
      </c>
      <c r="N196" s="348">
        <v>0</v>
      </c>
      <c r="O196" s="349">
        <v>0</v>
      </c>
      <c r="P196" s="348">
        <v>0</v>
      </c>
      <c r="Q196" s="348">
        <v>0</v>
      </c>
      <c r="R196" s="349">
        <v>0</v>
      </c>
      <c r="S196" s="348">
        <v>0</v>
      </c>
      <c r="T196" s="348">
        <v>7.4425655351223181</v>
      </c>
      <c r="U196" s="348">
        <v>0</v>
      </c>
      <c r="V196" s="348">
        <v>0</v>
      </c>
      <c r="W196" s="349">
        <v>0</v>
      </c>
      <c r="X196" s="349">
        <v>0</v>
      </c>
      <c r="Y196" s="323">
        <f>4.86064138378058-((((AVERAGE(K196:N196)+AVERAGE(Q196+AVERAGE(S196:V196))))))</f>
        <v>3.0000000000000004</v>
      </c>
    </row>
    <row r="197" spans="1:25" s="23" customFormat="1">
      <c r="A197" s="23">
        <v>197</v>
      </c>
      <c r="B197" s="23">
        <v>2</v>
      </c>
      <c r="C197" s="331" t="s">
        <v>166</v>
      </c>
      <c r="D197" s="332" t="s">
        <v>167</v>
      </c>
      <c r="E197" s="332" t="s">
        <v>119</v>
      </c>
      <c r="F197" s="332" t="s">
        <v>136</v>
      </c>
      <c r="G197" s="356"/>
      <c r="H197" s="356"/>
      <c r="I197" s="23">
        <v>0</v>
      </c>
      <c r="J197" s="23">
        <v>0</v>
      </c>
      <c r="K197" s="348">
        <v>0</v>
      </c>
      <c r="L197" s="348">
        <v>0</v>
      </c>
      <c r="M197" s="348">
        <v>0</v>
      </c>
      <c r="N197" s="348">
        <v>0</v>
      </c>
      <c r="O197" s="349">
        <v>0</v>
      </c>
      <c r="P197" s="348">
        <v>0</v>
      </c>
      <c r="Q197" s="348">
        <v>0</v>
      </c>
      <c r="R197" s="349">
        <v>0</v>
      </c>
      <c r="S197" s="348">
        <v>0</v>
      </c>
      <c r="T197" s="348">
        <v>7.2518208194694012E-3</v>
      </c>
      <c r="U197" s="348">
        <v>0</v>
      </c>
      <c r="V197" s="348">
        <v>0</v>
      </c>
      <c r="W197" s="349">
        <v>0</v>
      </c>
      <c r="X197" s="349">
        <v>0</v>
      </c>
      <c r="Y197" s="323">
        <f>3.00181295520487-((((AVERAGE(K197:N197)+AVERAGE(Q197+AVERAGE(S197:V197))))))</f>
        <v>3.0000000000000027</v>
      </c>
    </row>
    <row r="198" spans="1:25" s="25" customFormat="1">
      <c r="A198" s="334"/>
      <c r="B198" s="334"/>
      <c r="C198" s="334"/>
      <c r="D198" s="334"/>
      <c r="E198" s="334"/>
      <c r="F198" s="334"/>
      <c r="G198" s="337"/>
      <c r="H198" s="334"/>
      <c r="I198" s="334"/>
      <c r="J198" s="334"/>
      <c r="K198" s="338"/>
      <c r="L198" s="338"/>
      <c r="M198" s="338"/>
      <c r="N198" s="338"/>
      <c r="O198" s="339"/>
      <c r="P198" s="338"/>
      <c r="Q198" s="338"/>
      <c r="R198" s="338"/>
      <c r="S198" s="338"/>
      <c r="T198" s="338"/>
      <c r="U198" s="338"/>
      <c r="V198" s="338"/>
      <c r="W198" s="338"/>
      <c r="X198" s="341"/>
      <c r="Y198" s="338"/>
    </row>
    <row r="199" spans="1:25" s="13" customFormat="1">
      <c r="A199" s="261"/>
      <c r="B199" s="261"/>
      <c r="C199" s="261"/>
      <c r="D199" s="261"/>
      <c r="E199" s="261"/>
      <c r="F199" s="261"/>
      <c r="G199" s="262"/>
      <c r="H199" s="261"/>
      <c r="I199" s="261"/>
      <c r="J199" s="261"/>
      <c r="K199" s="236"/>
      <c r="L199" s="236"/>
      <c r="M199" s="236"/>
      <c r="N199" s="236"/>
      <c r="O199" s="299"/>
      <c r="P199" s="236"/>
      <c r="Q199" s="236"/>
      <c r="R199" s="236"/>
      <c r="S199" s="236"/>
      <c r="T199" s="236"/>
      <c r="U199" s="236"/>
      <c r="V199" s="236"/>
      <c r="W199" s="236"/>
      <c r="X199" s="329"/>
      <c r="Y199" s="236"/>
    </row>
    <row r="200" spans="1:25" s="13" customFormat="1">
      <c r="A200" s="261"/>
      <c r="B200" s="261"/>
      <c r="C200" s="261"/>
      <c r="D200" s="261"/>
      <c r="E200" s="261"/>
      <c r="F200" s="261"/>
      <c r="G200" s="262"/>
      <c r="H200" s="261"/>
      <c r="I200" s="261"/>
      <c r="J200" s="261"/>
      <c r="K200" s="236"/>
      <c r="L200" s="236"/>
      <c r="M200" s="236"/>
      <c r="N200" s="236"/>
      <c r="O200" s="299"/>
      <c r="P200" s="236"/>
      <c r="Q200" s="236"/>
      <c r="R200" s="236"/>
      <c r="S200" s="236"/>
      <c r="T200" s="236"/>
      <c r="U200" s="236"/>
      <c r="V200" s="236"/>
      <c r="W200" s="236"/>
      <c r="X200" s="329"/>
      <c r="Y200" s="236"/>
    </row>
    <row r="201" spans="1:25" s="13" customFormat="1">
      <c r="A201" s="261"/>
      <c r="B201" s="261"/>
      <c r="C201" s="261"/>
      <c r="D201" s="261"/>
      <c r="E201" s="261"/>
      <c r="F201" s="261"/>
      <c r="G201" s="262"/>
      <c r="H201" s="261"/>
      <c r="I201" s="261"/>
      <c r="J201" s="261"/>
      <c r="K201" s="236"/>
      <c r="L201" s="236"/>
      <c r="M201" s="236"/>
      <c r="N201" s="236"/>
      <c r="O201" s="299"/>
      <c r="P201" s="236"/>
      <c r="Q201" s="236"/>
      <c r="R201" s="236"/>
      <c r="S201" s="236"/>
      <c r="T201" s="236"/>
      <c r="U201" s="236"/>
      <c r="V201" s="236"/>
      <c r="W201" s="236"/>
      <c r="X201" s="329"/>
      <c r="Y201" s="236"/>
    </row>
    <row r="202" spans="1:25" s="13" customFormat="1">
      <c r="A202" s="261" t="s">
        <v>56</v>
      </c>
      <c r="B202" s="261"/>
      <c r="C202" s="261"/>
      <c r="D202" s="261"/>
      <c r="E202" s="261"/>
      <c r="F202" s="261"/>
      <c r="G202" s="262"/>
      <c r="H202" s="261"/>
      <c r="I202" s="261"/>
      <c r="J202" s="261"/>
      <c r="K202" s="236"/>
      <c r="L202" s="236"/>
      <c r="M202" s="236"/>
      <c r="N202" s="236"/>
      <c r="O202" s="299"/>
      <c r="P202" s="236"/>
      <c r="Q202" s="236"/>
      <c r="R202" s="236"/>
      <c r="S202" s="236"/>
      <c r="T202" s="236"/>
      <c r="U202" s="236"/>
      <c r="V202" s="236"/>
      <c r="W202" s="236"/>
      <c r="X202" s="329"/>
      <c r="Y202" s="236"/>
    </row>
    <row r="203" spans="1:25">
      <c r="A203" s="256">
        <v>198</v>
      </c>
      <c r="B203" s="256">
        <v>1</v>
      </c>
      <c r="C203" s="257" t="s">
        <v>169</v>
      </c>
      <c r="D203" s="257" t="s">
        <v>170</v>
      </c>
      <c r="E203" s="257" t="s">
        <v>115</v>
      </c>
      <c r="F203" s="257" t="s">
        <v>118</v>
      </c>
      <c r="G203" s="254"/>
      <c r="J203" s="264"/>
    </row>
    <row r="204" spans="1:25">
      <c r="A204" s="256">
        <v>199</v>
      </c>
      <c r="B204" s="256">
        <v>1</v>
      </c>
      <c r="C204" s="257" t="s">
        <v>171</v>
      </c>
      <c r="D204" s="257" t="s">
        <v>172</v>
      </c>
      <c r="E204" s="257" t="s">
        <v>115</v>
      </c>
      <c r="F204" s="257" t="s">
        <v>118</v>
      </c>
      <c r="G204" s="254"/>
      <c r="J204" s="264"/>
    </row>
    <row r="205" spans="1:25">
      <c r="A205" s="256">
        <v>200</v>
      </c>
      <c r="B205" s="256">
        <v>1</v>
      </c>
      <c r="C205" s="257" t="s">
        <v>173</v>
      </c>
      <c r="D205" s="257" t="s">
        <v>174</v>
      </c>
      <c r="E205" s="257" t="s">
        <v>115</v>
      </c>
      <c r="F205" s="257" t="s">
        <v>118</v>
      </c>
      <c r="G205" s="254"/>
      <c r="J205" s="264"/>
    </row>
    <row r="206" spans="1:25">
      <c r="A206" s="256">
        <v>201</v>
      </c>
      <c r="B206" s="256">
        <v>1</v>
      </c>
      <c r="C206" s="257" t="s">
        <v>175</v>
      </c>
      <c r="D206" s="257" t="s">
        <v>176</v>
      </c>
      <c r="E206" s="257" t="s">
        <v>119</v>
      </c>
      <c r="F206" s="257" t="s">
        <v>136</v>
      </c>
      <c r="G206" s="254"/>
      <c r="J206" s="264"/>
      <c r="O206" s="300"/>
    </row>
    <row r="207" spans="1:25">
      <c r="A207" s="256">
        <v>202</v>
      </c>
      <c r="B207" s="256">
        <v>1</v>
      </c>
      <c r="C207" s="257" t="s">
        <v>480</v>
      </c>
      <c r="D207" s="257" t="s">
        <v>479</v>
      </c>
      <c r="E207" s="257" t="s">
        <v>127</v>
      </c>
      <c r="F207" s="257" t="s">
        <v>118</v>
      </c>
      <c r="G207" s="254"/>
      <c r="J207" s="264"/>
      <c r="O207" s="301"/>
    </row>
    <row r="208" spans="1:25">
      <c r="A208" s="256">
        <v>203</v>
      </c>
      <c r="B208" s="256">
        <v>1</v>
      </c>
      <c r="C208" s="257" t="s">
        <v>177</v>
      </c>
      <c r="D208" s="257" t="s">
        <v>178</v>
      </c>
      <c r="E208" s="257" t="s">
        <v>119</v>
      </c>
      <c r="F208" s="257" t="s">
        <v>136</v>
      </c>
      <c r="G208" s="254"/>
      <c r="O208" s="301"/>
    </row>
    <row r="209" spans="1:25">
      <c r="A209" s="256">
        <v>204</v>
      </c>
      <c r="B209" s="256">
        <v>1</v>
      </c>
      <c r="C209" s="257" t="s">
        <v>324</v>
      </c>
      <c r="D209" s="257" t="s">
        <v>323</v>
      </c>
      <c r="E209" s="257" t="s">
        <v>115</v>
      </c>
      <c r="F209" s="257" t="s">
        <v>118</v>
      </c>
      <c r="G209" s="254"/>
      <c r="O209" s="301"/>
      <c r="P209"/>
      <c r="Q209"/>
      <c r="R209"/>
      <c r="S209"/>
      <c r="T209"/>
      <c r="U209"/>
      <c r="V209"/>
      <c r="W209"/>
      <c r="Y209"/>
    </row>
    <row r="210" spans="1:25">
      <c r="A210" s="256">
        <v>205</v>
      </c>
      <c r="B210" s="256">
        <v>1</v>
      </c>
      <c r="C210" s="257" t="s">
        <v>179</v>
      </c>
      <c r="D210" s="257" t="s">
        <v>180</v>
      </c>
      <c r="E210" s="257" t="s">
        <v>113</v>
      </c>
      <c r="F210" s="257" t="s">
        <v>134</v>
      </c>
      <c r="G210" s="254"/>
      <c r="O210" s="301"/>
      <c r="P210"/>
      <c r="Q210"/>
      <c r="R210"/>
      <c r="S210"/>
      <c r="T210"/>
      <c r="U210"/>
      <c r="V210"/>
      <c r="W210"/>
      <c r="Y210"/>
    </row>
    <row r="211" spans="1:25">
      <c r="A211" s="256">
        <v>206</v>
      </c>
      <c r="B211" s="256">
        <v>1</v>
      </c>
      <c r="C211" s="257" t="s">
        <v>181</v>
      </c>
      <c r="D211" s="257" t="s">
        <v>0</v>
      </c>
      <c r="E211" s="257" t="s">
        <v>115</v>
      </c>
      <c r="F211" s="257" t="s">
        <v>116</v>
      </c>
      <c r="G211" s="254"/>
      <c r="O211" s="301"/>
      <c r="P211"/>
      <c r="Q211"/>
      <c r="R211"/>
      <c r="S211"/>
      <c r="T211"/>
      <c r="U211"/>
      <c r="V211"/>
      <c r="W211"/>
      <c r="Y211"/>
    </row>
    <row r="212" spans="1:25">
      <c r="A212" s="256">
        <v>207</v>
      </c>
      <c r="B212" s="256">
        <v>1</v>
      </c>
      <c r="C212" s="257" t="s">
        <v>1</v>
      </c>
      <c r="D212" s="257" t="s">
        <v>2</v>
      </c>
      <c r="E212" s="257" t="s">
        <v>111</v>
      </c>
      <c r="F212" s="257" t="s">
        <v>112</v>
      </c>
      <c r="G212" s="254"/>
      <c r="O212" s="301"/>
      <c r="P212"/>
      <c r="Q212"/>
      <c r="R212"/>
      <c r="S212"/>
      <c r="T212"/>
      <c r="U212"/>
      <c r="V212"/>
      <c r="W212"/>
      <c r="Y212"/>
    </row>
    <row r="213" spans="1:25">
      <c r="A213" s="256">
        <v>208</v>
      </c>
      <c r="B213" s="256">
        <v>1</v>
      </c>
      <c r="C213" s="257" t="s">
        <v>3</v>
      </c>
      <c r="D213" s="257" t="s">
        <v>4</v>
      </c>
      <c r="E213" s="257" t="s">
        <v>111</v>
      </c>
      <c r="F213" s="257" t="s">
        <v>112</v>
      </c>
      <c r="G213" s="254"/>
      <c r="O213" s="301"/>
      <c r="P213"/>
      <c r="Q213"/>
      <c r="R213"/>
      <c r="S213"/>
      <c r="T213"/>
      <c r="U213"/>
      <c r="V213"/>
      <c r="W213"/>
      <c r="Y213"/>
    </row>
    <row r="214" spans="1:25">
      <c r="A214" s="256">
        <v>209</v>
      </c>
      <c r="B214" s="256">
        <v>1</v>
      </c>
      <c r="C214" s="257" t="s">
        <v>5</v>
      </c>
      <c r="D214" s="257" t="s">
        <v>6</v>
      </c>
      <c r="E214" s="257" t="s">
        <v>115</v>
      </c>
      <c r="F214" s="257" t="s">
        <v>118</v>
      </c>
      <c r="G214" s="254"/>
      <c r="O214" s="301"/>
      <c r="P214"/>
      <c r="Q214"/>
      <c r="R214"/>
      <c r="S214"/>
      <c r="T214"/>
      <c r="U214"/>
      <c r="V214"/>
      <c r="W214"/>
      <c r="Y214"/>
    </row>
    <row r="215" spans="1:25">
      <c r="A215" s="256">
        <v>210</v>
      </c>
      <c r="B215" s="256">
        <v>1</v>
      </c>
      <c r="C215" s="257" t="s">
        <v>7</v>
      </c>
      <c r="D215" s="257" t="s">
        <v>8</v>
      </c>
      <c r="E215" s="257" t="s">
        <v>127</v>
      </c>
      <c r="F215" s="257" t="s">
        <v>9</v>
      </c>
      <c r="G215" s="254"/>
      <c r="O215" s="301"/>
      <c r="P215"/>
      <c r="Q215"/>
      <c r="R215"/>
      <c r="S215"/>
      <c r="T215"/>
      <c r="U215"/>
      <c r="V215"/>
      <c r="W215"/>
      <c r="Y215"/>
    </row>
    <row r="216" spans="1:25">
      <c r="A216" s="256">
        <v>211</v>
      </c>
      <c r="B216" s="256">
        <v>1</v>
      </c>
      <c r="C216" s="257" t="s">
        <v>10</v>
      </c>
      <c r="D216" s="257" t="s">
        <v>11</v>
      </c>
      <c r="E216" s="257" t="s">
        <v>115</v>
      </c>
      <c r="F216" s="257" t="s">
        <v>116</v>
      </c>
      <c r="G216" s="254"/>
      <c r="P216"/>
      <c r="Q216"/>
      <c r="R216"/>
      <c r="S216"/>
      <c r="T216"/>
      <c r="U216"/>
      <c r="V216"/>
      <c r="W216"/>
      <c r="Y216"/>
    </row>
    <row r="217" spans="1:25">
      <c r="A217" s="256">
        <v>212</v>
      </c>
      <c r="B217" s="256">
        <v>1</v>
      </c>
      <c r="C217" s="257" t="s">
        <v>330</v>
      </c>
      <c r="D217" s="257" t="s">
        <v>329</v>
      </c>
      <c r="E217" s="257" t="s">
        <v>119</v>
      </c>
      <c r="F217" s="257" t="s">
        <v>136</v>
      </c>
      <c r="G217" s="254"/>
      <c r="P217"/>
      <c r="Q217"/>
      <c r="R217"/>
      <c r="S217"/>
      <c r="T217"/>
      <c r="U217"/>
      <c r="V217"/>
      <c r="W217"/>
      <c r="Y217"/>
    </row>
    <row r="218" spans="1:25">
      <c r="A218" s="256">
        <v>213</v>
      </c>
      <c r="B218" s="256">
        <v>1</v>
      </c>
      <c r="C218" s="257" t="s">
        <v>12</v>
      </c>
      <c r="D218" s="257" t="s">
        <v>13</v>
      </c>
      <c r="E218" s="257" t="s">
        <v>119</v>
      </c>
      <c r="F218" s="257" t="s">
        <v>128</v>
      </c>
      <c r="G218" s="254"/>
      <c r="P218"/>
      <c r="Q218"/>
      <c r="R218"/>
      <c r="S218"/>
      <c r="T218"/>
      <c r="U218"/>
      <c r="V218"/>
      <c r="W218"/>
      <c r="Y218"/>
    </row>
    <row r="219" spans="1:25">
      <c r="A219" s="256">
        <v>214</v>
      </c>
      <c r="B219" s="256">
        <v>1</v>
      </c>
      <c r="C219" s="257" t="s">
        <v>14</v>
      </c>
      <c r="D219" s="257" t="s">
        <v>15</v>
      </c>
      <c r="E219" s="257" t="s">
        <v>111</v>
      </c>
      <c r="F219" s="257" t="s">
        <v>112</v>
      </c>
      <c r="G219" s="254"/>
      <c r="P219"/>
      <c r="Q219"/>
      <c r="R219"/>
      <c r="S219"/>
      <c r="T219"/>
      <c r="U219"/>
      <c r="V219"/>
      <c r="W219"/>
      <c r="Y219"/>
    </row>
    <row r="220" spans="1:25">
      <c r="A220" s="256">
        <v>215</v>
      </c>
      <c r="B220" s="256">
        <v>1</v>
      </c>
      <c r="C220" s="257" t="s">
        <v>328</v>
      </c>
      <c r="D220" s="257" t="s">
        <v>16</v>
      </c>
      <c r="E220" s="257" t="s">
        <v>119</v>
      </c>
      <c r="F220" s="257" t="s">
        <v>128</v>
      </c>
      <c r="G220" s="254"/>
      <c r="P220"/>
      <c r="Q220"/>
      <c r="R220"/>
      <c r="S220"/>
      <c r="T220"/>
      <c r="U220"/>
      <c r="V220"/>
      <c r="W220"/>
      <c r="Y220"/>
    </row>
    <row r="221" spans="1:25">
      <c r="A221" s="256">
        <v>216</v>
      </c>
      <c r="B221" s="256">
        <v>1</v>
      </c>
      <c r="C221" s="257" t="s">
        <v>17</v>
      </c>
      <c r="D221" s="257" t="s">
        <v>18</v>
      </c>
      <c r="E221" s="257" t="s">
        <v>119</v>
      </c>
      <c r="F221" s="257" t="s">
        <v>136</v>
      </c>
      <c r="G221" s="254"/>
      <c r="P221"/>
      <c r="Q221"/>
      <c r="R221"/>
      <c r="S221"/>
      <c r="T221"/>
      <c r="U221"/>
      <c r="V221"/>
      <c r="W221"/>
      <c r="Y221"/>
    </row>
    <row r="222" spans="1:25">
      <c r="A222" s="256">
        <v>217</v>
      </c>
      <c r="B222" s="256">
        <v>1</v>
      </c>
      <c r="C222" s="257" t="s">
        <v>19</v>
      </c>
      <c r="D222" s="257" t="s">
        <v>20</v>
      </c>
      <c r="E222" s="257" t="s">
        <v>115</v>
      </c>
      <c r="F222" s="257" t="s">
        <v>118</v>
      </c>
      <c r="G222" s="254"/>
      <c r="P222"/>
      <c r="Q222"/>
      <c r="R222"/>
      <c r="S222"/>
      <c r="T222"/>
      <c r="U222"/>
      <c r="V222"/>
      <c r="W222"/>
      <c r="Y222"/>
    </row>
    <row r="223" spans="1:25">
      <c r="A223" s="256">
        <v>218</v>
      </c>
      <c r="B223" s="256">
        <v>1</v>
      </c>
      <c r="C223" s="257" t="s">
        <v>21</v>
      </c>
      <c r="D223" s="257" t="s">
        <v>22</v>
      </c>
      <c r="E223" s="257" t="s">
        <v>115</v>
      </c>
      <c r="F223" s="257" t="s">
        <v>118</v>
      </c>
      <c r="G223" s="254"/>
      <c r="P223"/>
      <c r="Q223"/>
      <c r="R223"/>
      <c r="S223"/>
      <c r="T223"/>
      <c r="U223"/>
      <c r="V223"/>
      <c r="W223"/>
      <c r="Y223"/>
    </row>
    <row r="224" spans="1:25">
      <c r="A224" s="256">
        <v>219</v>
      </c>
      <c r="B224" s="256">
        <v>1</v>
      </c>
      <c r="C224" s="257" t="s">
        <v>23</v>
      </c>
      <c r="D224" s="257" t="s">
        <v>24</v>
      </c>
      <c r="E224" s="257" t="s">
        <v>107</v>
      </c>
      <c r="F224" s="257" t="s">
        <v>133</v>
      </c>
      <c r="G224" s="254"/>
      <c r="P224"/>
      <c r="Q224"/>
      <c r="R224"/>
      <c r="S224"/>
      <c r="T224"/>
      <c r="U224"/>
      <c r="V224"/>
      <c r="W224"/>
      <c r="Y224"/>
    </row>
    <row r="225" spans="1:25">
      <c r="A225" s="256">
        <v>220</v>
      </c>
      <c r="B225" s="256">
        <v>1</v>
      </c>
      <c r="C225" s="257" t="s">
        <v>25</v>
      </c>
      <c r="D225" s="257" t="s">
        <v>26</v>
      </c>
      <c r="E225" s="257" t="s">
        <v>119</v>
      </c>
      <c r="F225" s="257" t="s">
        <v>136</v>
      </c>
      <c r="G225" s="254"/>
      <c r="K225"/>
      <c r="L225"/>
      <c r="M225"/>
      <c r="N225"/>
      <c r="O225" s="302"/>
      <c r="P225"/>
      <c r="Q225"/>
      <c r="R225"/>
      <c r="S225"/>
      <c r="T225"/>
      <c r="U225"/>
      <c r="V225"/>
      <c r="W225"/>
      <c r="Y225"/>
    </row>
    <row r="226" spans="1:25">
      <c r="A226" s="256">
        <v>221</v>
      </c>
      <c r="B226" s="256">
        <v>1</v>
      </c>
      <c r="C226" s="257" t="s">
        <v>27</v>
      </c>
      <c r="D226" s="257" t="s">
        <v>28</v>
      </c>
      <c r="E226" s="257" t="s">
        <v>119</v>
      </c>
      <c r="F226" s="257" t="s">
        <v>136</v>
      </c>
      <c r="G226" s="254"/>
      <c r="K226"/>
      <c r="L226"/>
      <c r="M226"/>
      <c r="N226"/>
      <c r="O226" s="302"/>
      <c r="P226"/>
      <c r="Q226"/>
      <c r="R226"/>
      <c r="S226"/>
      <c r="T226"/>
      <c r="U226"/>
      <c r="V226"/>
      <c r="W226"/>
      <c r="Y226"/>
    </row>
    <row r="227" spans="1:25">
      <c r="A227" s="256">
        <v>222</v>
      </c>
      <c r="B227" s="256">
        <v>1</v>
      </c>
      <c r="C227" s="257" t="s">
        <v>29</v>
      </c>
      <c r="D227" s="257" t="s">
        <v>30</v>
      </c>
      <c r="E227" s="257" t="s">
        <v>119</v>
      </c>
      <c r="F227" s="257" t="s">
        <v>136</v>
      </c>
      <c r="G227" s="254"/>
      <c r="K227"/>
      <c r="L227"/>
      <c r="M227"/>
      <c r="N227"/>
      <c r="O227" s="302"/>
      <c r="P227"/>
      <c r="Q227"/>
      <c r="R227"/>
      <c r="S227"/>
      <c r="T227"/>
      <c r="U227"/>
      <c r="V227"/>
      <c r="W227"/>
      <c r="Y227"/>
    </row>
    <row r="228" spans="1:25">
      <c r="A228" s="256">
        <v>223</v>
      </c>
      <c r="B228" s="256">
        <v>1</v>
      </c>
      <c r="C228" s="257" t="s">
        <v>326</v>
      </c>
      <c r="D228" s="257" t="s">
        <v>325</v>
      </c>
      <c r="E228" s="257" t="s">
        <v>127</v>
      </c>
      <c r="F228" s="257" t="s">
        <v>118</v>
      </c>
      <c r="G228" s="254"/>
      <c r="K228"/>
      <c r="L228"/>
      <c r="M228"/>
      <c r="N228"/>
      <c r="O228" s="302"/>
      <c r="P228"/>
      <c r="Q228"/>
      <c r="R228"/>
      <c r="S228"/>
      <c r="T228"/>
      <c r="U228"/>
      <c r="V228"/>
      <c r="W228"/>
      <c r="Y228"/>
    </row>
    <row r="229" spans="1:25">
      <c r="A229" s="256">
        <v>224</v>
      </c>
      <c r="B229" s="256">
        <v>1</v>
      </c>
      <c r="C229" s="257" t="s">
        <v>31</v>
      </c>
      <c r="D229" s="257" t="s">
        <v>32</v>
      </c>
      <c r="E229" s="257" t="s">
        <v>119</v>
      </c>
      <c r="F229" s="257" t="s">
        <v>136</v>
      </c>
      <c r="G229" s="254"/>
      <c r="K229"/>
      <c r="L229"/>
      <c r="M229"/>
      <c r="N229"/>
      <c r="O229" s="302"/>
      <c r="P229"/>
      <c r="Q229"/>
      <c r="R229"/>
      <c r="S229"/>
      <c r="T229"/>
      <c r="U229"/>
      <c r="V229"/>
      <c r="W229"/>
      <c r="Y229"/>
    </row>
    <row r="230" spans="1:25">
      <c r="A230" s="256">
        <v>225</v>
      </c>
      <c r="B230" s="256">
        <v>1</v>
      </c>
      <c r="C230" s="257" t="s">
        <v>33</v>
      </c>
      <c r="D230" s="257" t="s">
        <v>34</v>
      </c>
      <c r="E230" s="257" t="s">
        <v>107</v>
      </c>
      <c r="F230" s="257" t="s">
        <v>133</v>
      </c>
      <c r="G230" s="254"/>
      <c r="K230"/>
      <c r="L230"/>
      <c r="M230"/>
      <c r="N230"/>
      <c r="O230" s="302"/>
      <c r="P230"/>
      <c r="Q230"/>
      <c r="R230"/>
      <c r="S230"/>
      <c r="T230"/>
      <c r="U230"/>
      <c r="V230"/>
      <c r="W230"/>
      <c r="Y230"/>
    </row>
    <row r="231" spans="1:25">
      <c r="A231" s="256">
        <v>226</v>
      </c>
      <c r="B231" s="256">
        <v>1</v>
      </c>
      <c r="C231" s="257" t="s">
        <v>35</v>
      </c>
      <c r="D231" s="257" t="s">
        <v>36</v>
      </c>
      <c r="E231" s="257" t="s">
        <v>107</v>
      </c>
      <c r="F231" s="257" t="s">
        <v>108</v>
      </c>
      <c r="G231" s="254"/>
      <c r="K231"/>
      <c r="L231"/>
      <c r="M231"/>
      <c r="N231"/>
      <c r="O231" s="302"/>
      <c r="P231"/>
      <c r="Q231"/>
      <c r="R231"/>
      <c r="S231"/>
      <c r="T231"/>
      <c r="U231"/>
      <c r="V231"/>
      <c r="W231"/>
      <c r="Y231"/>
    </row>
    <row r="232" spans="1:25">
      <c r="A232" s="256">
        <v>227</v>
      </c>
      <c r="B232" s="256">
        <v>1</v>
      </c>
      <c r="C232" s="257" t="s">
        <v>37</v>
      </c>
      <c r="D232" s="257" t="s">
        <v>38</v>
      </c>
      <c r="E232" s="257" t="s">
        <v>111</v>
      </c>
      <c r="F232" s="257" t="s">
        <v>112</v>
      </c>
      <c r="G232" s="254"/>
      <c r="K232"/>
      <c r="L232"/>
      <c r="M232"/>
      <c r="N232"/>
      <c r="O232" s="302"/>
      <c r="P232"/>
      <c r="Q232"/>
      <c r="R232"/>
      <c r="S232"/>
      <c r="T232"/>
      <c r="U232"/>
      <c r="V232"/>
      <c r="W232"/>
      <c r="Y232"/>
    </row>
    <row r="233" spans="1:25">
      <c r="A233" s="256">
        <v>228</v>
      </c>
      <c r="B233" s="256">
        <v>1</v>
      </c>
      <c r="C233" s="257" t="s">
        <v>39</v>
      </c>
      <c r="D233" s="257" t="s">
        <v>40</v>
      </c>
      <c r="E233" s="257" t="s">
        <v>115</v>
      </c>
      <c r="F233" s="257" t="s">
        <v>118</v>
      </c>
      <c r="G233" s="254"/>
      <c r="K233"/>
      <c r="L233"/>
      <c r="M233"/>
      <c r="N233"/>
      <c r="O233" s="302"/>
      <c r="P233"/>
      <c r="Q233"/>
      <c r="R233"/>
      <c r="S233"/>
      <c r="T233"/>
      <c r="U233"/>
      <c r="V233"/>
      <c r="W233"/>
      <c r="Y233"/>
    </row>
    <row r="234" spans="1:25">
      <c r="A234" s="256">
        <v>229</v>
      </c>
      <c r="B234" s="256">
        <v>1</v>
      </c>
      <c r="C234" s="257" t="s">
        <v>41</v>
      </c>
      <c r="D234" s="257" t="s">
        <v>42</v>
      </c>
      <c r="E234" s="257" t="s">
        <v>119</v>
      </c>
      <c r="F234" s="257" t="s">
        <v>136</v>
      </c>
      <c r="G234" s="254"/>
      <c r="K234"/>
      <c r="L234"/>
      <c r="M234"/>
      <c r="N234"/>
      <c r="O234" s="302"/>
      <c r="P234"/>
      <c r="Q234"/>
      <c r="R234"/>
      <c r="S234"/>
      <c r="T234"/>
      <c r="U234"/>
      <c r="V234"/>
      <c r="W234"/>
      <c r="Y234"/>
    </row>
    <row r="235" spans="1:25">
      <c r="A235" s="256">
        <v>230</v>
      </c>
      <c r="B235" s="256">
        <v>1</v>
      </c>
      <c r="C235" s="257" t="s">
        <v>43</v>
      </c>
      <c r="D235" s="257" t="s">
        <v>44</v>
      </c>
      <c r="E235" s="257" t="s">
        <v>119</v>
      </c>
      <c r="F235" s="257" t="s">
        <v>128</v>
      </c>
      <c r="G235" s="254"/>
      <c r="K235"/>
      <c r="L235"/>
      <c r="M235"/>
      <c r="N235"/>
      <c r="O235" s="302"/>
      <c r="P235"/>
      <c r="Q235"/>
      <c r="R235"/>
      <c r="S235"/>
      <c r="T235"/>
      <c r="U235"/>
      <c r="V235"/>
      <c r="W235"/>
      <c r="Y235"/>
    </row>
    <row r="236" spans="1:25">
      <c r="A236" s="256">
        <v>231</v>
      </c>
      <c r="B236" s="256">
        <v>1</v>
      </c>
      <c r="C236" s="257" t="s">
        <v>45</v>
      </c>
      <c r="D236" s="257" t="s">
        <v>46</v>
      </c>
      <c r="E236" s="257" t="s">
        <v>115</v>
      </c>
      <c r="F236" s="257" t="s">
        <v>118</v>
      </c>
      <c r="G236" s="254"/>
      <c r="K236"/>
      <c r="L236"/>
      <c r="M236"/>
      <c r="N236"/>
      <c r="O236" s="302"/>
      <c r="P236"/>
      <c r="Q236"/>
      <c r="R236"/>
      <c r="S236"/>
      <c r="T236"/>
      <c r="U236"/>
      <c r="V236"/>
      <c r="W236"/>
      <c r="Y236"/>
    </row>
    <row r="237" spans="1:25">
      <c r="A237" s="256">
        <v>232</v>
      </c>
      <c r="B237" s="256">
        <v>1</v>
      </c>
      <c r="C237" s="257" t="s">
        <v>47</v>
      </c>
      <c r="D237" s="257" t="s">
        <v>48</v>
      </c>
      <c r="E237" s="257" t="s">
        <v>115</v>
      </c>
      <c r="F237" s="257" t="s">
        <v>118</v>
      </c>
      <c r="G237" s="254"/>
      <c r="K237"/>
      <c r="L237"/>
      <c r="M237"/>
      <c r="N237"/>
      <c r="O237" s="302"/>
      <c r="P237"/>
      <c r="Q237"/>
      <c r="R237"/>
      <c r="S237"/>
      <c r="T237"/>
      <c r="U237"/>
      <c r="V237"/>
      <c r="W237"/>
      <c r="Y237"/>
    </row>
    <row r="238" spans="1:25">
      <c r="A238" s="258">
        <v>160</v>
      </c>
      <c r="B238" s="258">
        <v>1</v>
      </c>
      <c r="C238" s="258" t="s">
        <v>49</v>
      </c>
      <c r="D238" s="258" t="s">
        <v>50</v>
      </c>
      <c r="E238" s="258" t="s">
        <v>127</v>
      </c>
      <c r="F238" s="258" t="s">
        <v>127</v>
      </c>
      <c r="G238" s="254"/>
      <c r="K238"/>
      <c r="L238"/>
      <c r="M238"/>
      <c r="N238"/>
      <c r="O238" s="302"/>
      <c r="P238"/>
      <c r="Q238"/>
      <c r="R238"/>
      <c r="S238"/>
      <c r="T238"/>
      <c r="U238"/>
      <c r="V238"/>
      <c r="W238"/>
      <c r="Y238"/>
    </row>
    <row r="239" spans="1:25">
      <c r="B239" s="252"/>
      <c r="G239" s="254"/>
      <c r="K239"/>
      <c r="L239"/>
      <c r="M239"/>
      <c r="N239"/>
      <c r="O239" s="302"/>
      <c r="P239"/>
      <c r="Q239"/>
      <c r="R239"/>
      <c r="S239"/>
      <c r="T239"/>
      <c r="U239"/>
      <c r="V239"/>
      <c r="W239"/>
      <c r="Y239"/>
    </row>
    <row r="240" spans="1:25">
      <c r="B240" s="252"/>
      <c r="G240" s="254"/>
      <c r="K240"/>
      <c r="L240"/>
      <c r="M240"/>
      <c r="N240"/>
      <c r="O240" s="302"/>
      <c r="P240"/>
      <c r="Q240"/>
      <c r="R240"/>
      <c r="S240"/>
      <c r="T240"/>
      <c r="U240"/>
      <c r="V240"/>
      <c r="W240"/>
      <c r="Y240"/>
    </row>
    <row r="241" spans="2:25">
      <c r="B241" s="252"/>
      <c r="G241" s="254"/>
      <c r="K241"/>
      <c r="L241"/>
      <c r="M241"/>
      <c r="N241"/>
      <c r="O241" s="302"/>
      <c r="P241"/>
      <c r="Q241"/>
      <c r="R241"/>
      <c r="S241"/>
      <c r="T241"/>
      <c r="U241"/>
      <c r="V241"/>
      <c r="W241"/>
      <c r="Y241"/>
    </row>
  </sheetData>
  <autoFilter ref="A1:Y197"/>
  <sortState ref="A2:Y197">
    <sortCondition ref="B2:B197"/>
    <sortCondition descending="1" ref="J2:J197"/>
    <sortCondition ref="C2:C197"/>
  </sortState>
  <phoneticPr fontId="23" type="noConversion"/>
  <pageMargins left="0.7" right="0.7" top="0.75" bottom="0.75" header="0.3" footer="0.3"/>
  <legacyDrawing r:id="rId1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7"/>
  <sheetViews>
    <sheetView workbookViewId="0">
      <selection activeCell="K29" sqref="K29"/>
    </sheetView>
  </sheetViews>
  <sheetFormatPr baseColWidth="10" defaultColWidth="8.83203125" defaultRowHeight="12" x14ac:dyDescent="0"/>
  <cols>
    <col min="1" max="1" width="6.6640625" style="64" customWidth="1"/>
    <col min="2" max="3" width="17.1640625" style="64" customWidth="1"/>
    <col min="4" max="4" width="14.33203125" style="65" customWidth="1"/>
    <col min="5" max="5" width="10.33203125" style="66" customWidth="1"/>
    <col min="6" max="6" width="21" style="64" customWidth="1"/>
    <col min="7" max="7" width="10" style="67" customWidth="1"/>
    <col min="8" max="8" width="24.83203125" style="65" customWidth="1"/>
    <col min="9" max="9" width="11.6640625" style="69" customWidth="1"/>
    <col min="10" max="10" width="19.5" style="68" customWidth="1"/>
    <col min="11" max="11" width="25.83203125" style="67" customWidth="1"/>
    <col min="12" max="242" width="8.83203125" style="47"/>
    <col min="243" max="243" width="6.6640625" style="47" customWidth="1"/>
    <col min="244" max="244" width="17.1640625" style="47" customWidth="1"/>
    <col min="245" max="245" width="14.33203125" style="47" customWidth="1"/>
    <col min="246" max="246" width="10.33203125" style="47" customWidth="1"/>
    <col min="247" max="247" width="21" style="47" customWidth="1"/>
    <col min="248" max="248" width="12.33203125" style="47" customWidth="1"/>
    <col min="249" max="249" width="10" style="47" customWidth="1"/>
    <col min="250" max="250" width="24.83203125" style="47" customWidth="1"/>
    <col min="251" max="251" width="11" style="47" customWidth="1"/>
    <col min="252" max="252" width="11.6640625" style="47" customWidth="1"/>
    <col min="253" max="253" width="19.5" style="47" customWidth="1"/>
    <col min="254" max="254" width="25.83203125" style="47" customWidth="1"/>
    <col min="255" max="255" width="8.83203125" style="47"/>
    <col min="256" max="256" width="6.6640625" style="47" customWidth="1"/>
    <col min="257" max="257" width="17.1640625" style="47" customWidth="1"/>
    <col min="258" max="258" width="14.33203125" style="47" customWidth="1"/>
    <col min="259" max="259" width="10.33203125" style="47" customWidth="1"/>
    <col min="260" max="260" width="21" style="47" customWidth="1"/>
    <col min="261" max="261" width="12.33203125" style="47" customWidth="1"/>
    <col min="262" max="262" width="10" style="47" customWidth="1"/>
    <col min="263" max="263" width="24.83203125" style="47" customWidth="1"/>
    <col min="264" max="264" width="11" style="47" customWidth="1"/>
    <col min="265" max="265" width="11.6640625" style="47" customWidth="1"/>
    <col min="266" max="266" width="19.5" style="47" customWidth="1"/>
    <col min="267" max="267" width="25.83203125" style="47" customWidth="1"/>
    <col min="268" max="498" width="8.83203125" style="47"/>
    <col min="499" max="499" width="6.6640625" style="47" customWidth="1"/>
    <col min="500" max="500" width="17.1640625" style="47" customWidth="1"/>
    <col min="501" max="501" width="14.33203125" style="47" customWidth="1"/>
    <col min="502" max="502" width="10.33203125" style="47" customWidth="1"/>
    <col min="503" max="503" width="21" style="47" customWidth="1"/>
    <col min="504" max="504" width="12.33203125" style="47" customWidth="1"/>
    <col min="505" max="505" width="10" style="47" customWidth="1"/>
    <col min="506" max="506" width="24.83203125" style="47" customWidth="1"/>
    <col min="507" max="507" width="11" style="47" customWidth="1"/>
    <col min="508" max="508" width="11.6640625" style="47" customWidth="1"/>
    <col min="509" max="509" width="19.5" style="47" customWidth="1"/>
    <col min="510" max="510" width="25.83203125" style="47" customWidth="1"/>
    <col min="511" max="511" width="8.83203125" style="47"/>
    <col min="512" max="512" width="6.6640625" style="47" customWidth="1"/>
    <col min="513" max="513" width="17.1640625" style="47" customWidth="1"/>
    <col min="514" max="514" width="14.33203125" style="47" customWidth="1"/>
    <col min="515" max="515" width="10.33203125" style="47" customWidth="1"/>
    <col min="516" max="516" width="21" style="47" customWidth="1"/>
    <col min="517" max="517" width="12.33203125" style="47" customWidth="1"/>
    <col min="518" max="518" width="10" style="47" customWidth="1"/>
    <col min="519" max="519" width="24.83203125" style="47" customWidth="1"/>
    <col min="520" max="520" width="11" style="47" customWidth="1"/>
    <col min="521" max="521" width="11.6640625" style="47" customWidth="1"/>
    <col min="522" max="522" width="19.5" style="47" customWidth="1"/>
    <col min="523" max="523" width="25.83203125" style="47" customWidth="1"/>
    <col min="524" max="754" width="8.83203125" style="47"/>
    <col min="755" max="755" width="6.6640625" style="47" customWidth="1"/>
    <col min="756" max="756" width="17.1640625" style="47" customWidth="1"/>
    <col min="757" max="757" width="14.33203125" style="47" customWidth="1"/>
    <col min="758" max="758" width="10.33203125" style="47" customWidth="1"/>
    <col min="759" max="759" width="21" style="47" customWidth="1"/>
    <col min="760" max="760" width="12.33203125" style="47" customWidth="1"/>
    <col min="761" max="761" width="10" style="47" customWidth="1"/>
    <col min="762" max="762" width="24.83203125" style="47" customWidth="1"/>
    <col min="763" max="763" width="11" style="47" customWidth="1"/>
    <col min="764" max="764" width="11.6640625" style="47" customWidth="1"/>
    <col min="765" max="765" width="19.5" style="47" customWidth="1"/>
    <col min="766" max="766" width="25.83203125" style="47" customWidth="1"/>
    <col min="767" max="767" width="8.83203125" style="47"/>
    <col min="768" max="768" width="6.6640625" style="47" customWidth="1"/>
    <col min="769" max="769" width="17.1640625" style="47" customWidth="1"/>
    <col min="770" max="770" width="14.33203125" style="47" customWidth="1"/>
    <col min="771" max="771" width="10.33203125" style="47" customWidth="1"/>
    <col min="772" max="772" width="21" style="47" customWidth="1"/>
    <col min="773" max="773" width="12.33203125" style="47" customWidth="1"/>
    <col min="774" max="774" width="10" style="47" customWidth="1"/>
    <col min="775" max="775" width="24.83203125" style="47" customWidth="1"/>
    <col min="776" max="776" width="11" style="47" customWidth="1"/>
    <col min="777" max="777" width="11.6640625" style="47" customWidth="1"/>
    <col min="778" max="778" width="19.5" style="47" customWidth="1"/>
    <col min="779" max="779" width="25.83203125" style="47" customWidth="1"/>
    <col min="780" max="1010" width="8.83203125" style="47"/>
    <col min="1011" max="1011" width="6.6640625" style="47" customWidth="1"/>
    <col min="1012" max="1012" width="17.1640625" style="47" customWidth="1"/>
    <col min="1013" max="1013" width="14.33203125" style="47" customWidth="1"/>
    <col min="1014" max="1014" width="10.33203125" style="47" customWidth="1"/>
    <col min="1015" max="1015" width="21" style="47" customWidth="1"/>
    <col min="1016" max="1016" width="12.33203125" style="47" customWidth="1"/>
    <col min="1017" max="1017" width="10" style="47" customWidth="1"/>
    <col min="1018" max="1018" width="24.83203125" style="47" customWidth="1"/>
    <col min="1019" max="1019" width="11" style="47" customWidth="1"/>
    <col min="1020" max="1020" width="11.6640625" style="47" customWidth="1"/>
    <col min="1021" max="1021" width="19.5" style="47" customWidth="1"/>
    <col min="1022" max="1022" width="25.83203125" style="47" customWidth="1"/>
    <col min="1023" max="1023" width="8.83203125" style="47"/>
    <col min="1024" max="1024" width="6.6640625" style="47" customWidth="1"/>
    <col min="1025" max="1025" width="17.1640625" style="47" customWidth="1"/>
    <col min="1026" max="1026" width="14.33203125" style="47" customWidth="1"/>
    <col min="1027" max="1027" width="10.33203125" style="47" customWidth="1"/>
    <col min="1028" max="1028" width="21" style="47" customWidth="1"/>
    <col min="1029" max="1029" width="12.33203125" style="47" customWidth="1"/>
    <col min="1030" max="1030" width="10" style="47" customWidth="1"/>
    <col min="1031" max="1031" width="24.83203125" style="47" customWidth="1"/>
    <col min="1032" max="1032" width="11" style="47" customWidth="1"/>
    <col min="1033" max="1033" width="11.6640625" style="47" customWidth="1"/>
    <col min="1034" max="1034" width="19.5" style="47" customWidth="1"/>
    <col min="1035" max="1035" width="25.83203125" style="47" customWidth="1"/>
    <col min="1036" max="1266" width="8.83203125" style="47"/>
    <col min="1267" max="1267" width="6.6640625" style="47" customWidth="1"/>
    <col min="1268" max="1268" width="17.1640625" style="47" customWidth="1"/>
    <col min="1269" max="1269" width="14.33203125" style="47" customWidth="1"/>
    <col min="1270" max="1270" width="10.33203125" style="47" customWidth="1"/>
    <col min="1271" max="1271" width="21" style="47" customWidth="1"/>
    <col min="1272" max="1272" width="12.33203125" style="47" customWidth="1"/>
    <col min="1273" max="1273" width="10" style="47" customWidth="1"/>
    <col min="1274" max="1274" width="24.83203125" style="47" customWidth="1"/>
    <col min="1275" max="1275" width="11" style="47" customWidth="1"/>
    <col min="1276" max="1276" width="11.6640625" style="47" customWidth="1"/>
    <col min="1277" max="1277" width="19.5" style="47" customWidth="1"/>
    <col min="1278" max="1278" width="25.83203125" style="47" customWidth="1"/>
    <col min="1279" max="1279" width="8.83203125" style="47"/>
    <col min="1280" max="1280" width="6.6640625" style="47" customWidth="1"/>
    <col min="1281" max="1281" width="17.1640625" style="47" customWidth="1"/>
    <col min="1282" max="1282" width="14.33203125" style="47" customWidth="1"/>
    <col min="1283" max="1283" width="10.33203125" style="47" customWidth="1"/>
    <col min="1284" max="1284" width="21" style="47" customWidth="1"/>
    <col min="1285" max="1285" width="12.33203125" style="47" customWidth="1"/>
    <col min="1286" max="1286" width="10" style="47" customWidth="1"/>
    <col min="1287" max="1287" width="24.83203125" style="47" customWidth="1"/>
    <col min="1288" max="1288" width="11" style="47" customWidth="1"/>
    <col min="1289" max="1289" width="11.6640625" style="47" customWidth="1"/>
    <col min="1290" max="1290" width="19.5" style="47" customWidth="1"/>
    <col min="1291" max="1291" width="25.83203125" style="47" customWidth="1"/>
    <col min="1292" max="1522" width="8.83203125" style="47"/>
    <col min="1523" max="1523" width="6.6640625" style="47" customWidth="1"/>
    <col min="1524" max="1524" width="17.1640625" style="47" customWidth="1"/>
    <col min="1525" max="1525" width="14.33203125" style="47" customWidth="1"/>
    <col min="1526" max="1526" width="10.33203125" style="47" customWidth="1"/>
    <col min="1527" max="1527" width="21" style="47" customWidth="1"/>
    <col min="1528" max="1528" width="12.33203125" style="47" customWidth="1"/>
    <col min="1529" max="1529" width="10" style="47" customWidth="1"/>
    <col min="1530" max="1530" width="24.83203125" style="47" customWidth="1"/>
    <col min="1531" max="1531" width="11" style="47" customWidth="1"/>
    <col min="1532" max="1532" width="11.6640625" style="47" customWidth="1"/>
    <col min="1533" max="1533" width="19.5" style="47" customWidth="1"/>
    <col min="1534" max="1534" width="25.83203125" style="47" customWidth="1"/>
    <col min="1535" max="1535" width="8.83203125" style="47"/>
    <col min="1536" max="1536" width="6.6640625" style="47" customWidth="1"/>
    <col min="1537" max="1537" width="17.1640625" style="47" customWidth="1"/>
    <col min="1538" max="1538" width="14.33203125" style="47" customWidth="1"/>
    <col min="1539" max="1539" width="10.33203125" style="47" customWidth="1"/>
    <col min="1540" max="1540" width="21" style="47" customWidth="1"/>
    <col min="1541" max="1541" width="12.33203125" style="47" customWidth="1"/>
    <col min="1542" max="1542" width="10" style="47" customWidth="1"/>
    <col min="1543" max="1543" width="24.83203125" style="47" customWidth="1"/>
    <col min="1544" max="1544" width="11" style="47" customWidth="1"/>
    <col min="1545" max="1545" width="11.6640625" style="47" customWidth="1"/>
    <col min="1546" max="1546" width="19.5" style="47" customWidth="1"/>
    <col min="1547" max="1547" width="25.83203125" style="47" customWidth="1"/>
    <col min="1548" max="1778" width="8.83203125" style="47"/>
    <col min="1779" max="1779" width="6.6640625" style="47" customWidth="1"/>
    <col min="1780" max="1780" width="17.1640625" style="47" customWidth="1"/>
    <col min="1781" max="1781" width="14.33203125" style="47" customWidth="1"/>
    <col min="1782" max="1782" width="10.33203125" style="47" customWidth="1"/>
    <col min="1783" max="1783" width="21" style="47" customWidth="1"/>
    <col min="1784" max="1784" width="12.33203125" style="47" customWidth="1"/>
    <col min="1785" max="1785" width="10" style="47" customWidth="1"/>
    <col min="1786" max="1786" width="24.83203125" style="47" customWidth="1"/>
    <col min="1787" max="1787" width="11" style="47" customWidth="1"/>
    <col min="1788" max="1788" width="11.6640625" style="47" customWidth="1"/>
    <col min="1789" max="1789" width="19.5" style="47" customWidth="1"/>
    <col min="1790" max="1790" width="25.83203125" style="47" customWidth="1"/>
    <col min="1791" max="1791" width="8.83203125" style="47"/>
    <col min="1792" max="1792" width="6.6640625" style="47" customWidth="1"/>
    <col min="1793" max="1793" width="17.1640625" style="47" customWidth="1"/>
    <col min="1794" max="1794" width="14.33203125" style="47" customWidth="1"/>
    <col min="1795" max="1795" width="10.33203125" style="47" customWidth="1"/>
    <col min="1796" max="1796" width="21" style="47" customWidth="1"/>
    <col min="1797" max="1797" width="12.33203125" style="47" customWidth="1"/>
    <col min="1798" max="1798" width="10" style="47" customWidth="1"/>
    <col min="1799" max="1799" width="24.83203125" style="47" customWidth="1"/>
    <col min="1800" max="1800" width="11" style="47" customWidth="1"/>
    <col min="1801" max="1801" width="11.6640625" style="47" customWidth="1"/>
    <col min="1802" max="1802" width="19.5" style="47" customWidth="1"/>
    <col min="1803" max="1803" width="25.83203125" style="47" customWidth="1"/>
    <col min="1804" max="2034" width="8.83203125" style="47"/>
    <col min="2035" max="2035" width="6.6640625" style="47" customWidth="1"/>
    <col min="2036" max="2036" width="17.1640625" style="47" customWidth="1"/>
    <col min="2037" max="2037" width="14.33203125" style="47" customWidth="1"/>
    <col min="2038" max="2038" width="10.33203125" style="47" customWidth="1"/>
    <col min="2039" max="2039" width="21" style="47" customWidth="1"/>
    <col min="2040" max="2040" width="12.33203125" style="47" customWidth="1"/>
    <col min="2041" max="2041" width="10" style="47" customWidth="1"/>
    <col min="2042" max="2042" width="24.83203125" style="47" customWidth="1"/>
    <col min="2043" max="2043" width="11" style="47" customWidth="1"/>
    <col min="2044" max="2044" width="11.6640625" style="47" customWidth="1"/>
    <col min="2045" max="2045" width="19.5" style="47" customWidth="1"/>
    <col min="2046" max="2046" width="25.83203125" style="47" customWidth="1"/>
    <col min="2047" max="2047" width="8.83203125" style="47"/>
    <col min="2048" max="2048" width="6.6640625" style="47" customWidth="1"/>
    <col min="2049" max="2049" width="17.1640625" style="47" customWidth="1"/>
    <col min="2050" max="2050" width="14.33203125" style="47" customWidth="1"/>
    <col min="2051" max="2051" width="10.33203125" style="47" customWidth="1"/>
    <col min="2052" max="2052" width="21" style="47" customWidth="1"/>
    <col min="2053" max="2053" width="12.33203125" style="47" customWidth="1"/>
    <col min="2054" max="2054" width="10" style="47" customWidth="1"/>
    <col min="2055" max="2055" width="24.83203125" style="47" customWidth="1"/>
    <col min="2056" max="2056" width="11" style="47" customWidth="1"/>
    <col min="2057" max="2057" width="11.6640625" style="47" customWidth="1"/>
    <col min="2058" max="2058" width="19.5" style="47" customWidth="1"/>
    <col min="2059" max="2059" width="25.83203125" style="47" customWidth="1"/>
    <col min="2060" max="2290" width="8.83203125" style="47"/>
    <col min="2291" max="2291" width="6.6640625" style="47" customWidth="1"/>
    <col min="2292" max="2292" width="17.1640625" style="47" customWidth="1"/>
    <col min="2293" max="2293" width="14.33203125" style="47" customWidth="1"/>
    <col min="2294" max="2294" width="10.33203125" style="47" customWidth="1"/>
    <col min="2295" max="2295" width="21" style="47" customWidth="1"/>
    <col min="2296" max="2296" width="12.33203125" style="47" customWidth="1"/>
    <col min="2297" max="2297" width="10" style="47" customWidth="1"/>
    <col min="2298" max="2298" width="24.83203125" style="47" customWidth="1"/>
    <col min="2299" max="2299" width="11" style="47" customWidth="1"/>
    <col min="2300" max="2300" width="11.6640625" style="47" customWidth="1"/>
    <col min="2301" max="2301" width="19.5" style="47" customWidth="1"/>
    <col min="2302" max="2302" width="25.83203125" style="47" customWidth="1"/>
    <col min="2303" max="2303" width="8.83203125" style="47"/>
    <col min="2304" max="2304" width="6.6640625" style="47" customWidth="1"/>
    <col min="2305" max="2305" width="17.1640625" style="47" customWidth="1"/>
    <col min="2306" max="2306" width="14.33203125" style="47" customWidth="1"/>
    <col min="2307" max="2307" width="10.33203125" style="47" customWidth="1"/>
    <col min="2308" max="2308" width="21" style="47" customWidth="1"/>
    <col min="2309" max="2309" width="12.33203125" style="47" customWidth="1"/>
    <col min="2310" max="2310" width="10" style="47" customWidth="1"/>
    <col min="2311" max="2311" width="24.83203125" style="47" customWidth="1"/>
    <col min="2312" max="2312" width="11" style="47" customWidth="1"/>
    <col min="2313" max="2313" width="11.6640625" style="47" customWidth="1"/>
    <col min="2314" max="2314" width="19.5" style="47" customWidth="1"/>
    <col min="2315" max="2315" width="25.83203125" style="47" customWidth="1"/>
    <col min="2316" max="2546" width="8.83203125" style="47"/>
    <col min="2547" max="2547" width="6.6640625" style="47" customWidth="1"/>
    <col min="2548" max="2548" width="17.1640625" style="47" customWidth="1"/>
    <col min="2549" max="2549" width="14.33203125" style="47" customWidth="1"/>
    <col min="2550" max="2550" width="10.33203125" style="47" customWidth="1"/>
    <col min="2551" max="2551" width="21" style="47" customWidth="1"/>
    <col min="2552" max="2552" width="12.33203125" style="47" customWidth="1"/>
    <col min="2553" max="2553" width="10" style="47" customWidth="1"/>
    <col min="2554" max="2554" width="24.83203125" style="47" customWidth="1"/>
    <col min="2555" max="2555" width="11" style="47" customWidth="1"/>
    <col min="2556" max="2556" width="11.6640625" style="47" customWidth="1"/>
    <col min="2557" max="2557" width="19.5" style="47" customWidth="1"/>
    <col min="2558" max="2558" width="25.83203125" style="47" customWidth="1"/>
    <col min="2559" max="2559" width="8.83203125" style="47"/>
    <col min="2560" max="2560" width="6.6640625" style="47" customWidth="1"/>
    <col min="2561" max="2561" width="17.1640625" style="47" customWidth="1"/>
    <col min="2562" max="2562" width="14.33203125" style="47" customWidth="1"/>
    <col min="2563" max="2563" width="10.33203125" style="47" customWidth="1"/>
    <col min="2564" max="2564" width="21" style="47" customWidth="1"/>
    <col min="2565" max="2565" width="12.33203125" style="47" customWidth="1"/>
    <col min="2566" max="2566" width="10" style="47" customWidth="1"/>
    <col min="2567" max="2567" width="24.83203125" style="47" customWidth="1"/>
    <col min="2568" max="2568" width="11" style="47" customWidth="1"/>
    <col min="2569" max="2569" width="11.6640625" style="47" customWidth="1"/>
    <col min="2570" max="2570" width="19.5" style="47" customWidth="1"/>
    <col min="2571" max="2571" width="25.83203125" style="47" customWidth="1"/>
    <col min="2572" max="2802" width="8.83203125" style="47"/>
    <col min="2803" max="2803" width="6.6640625" style="47" customWidth="1"/>
    <col min="2804" max="2804" width="17.1640625" style="47" customWidth="1"/>
    <col min="2805" max="2805" width="14.33203125" style="47" customWidth="1"/>
    <col min="2806" max="2806" width="10.33203125" style="47" customWidth="1"/>
    <col min="2807" max="2807" width="21" style="47" customWidth="1"/>
    <col min="2808" max="2808" width="12.33203125" style="47" customWidth="1"/>
    <col min="2809" max="2809" width="10" style="47" customWidth="1"/>
    <col min="2810" max="2810" width="24.83203125" style="47" customWidth="1"/>
    <col min="2811" max="2811" width="11" style="47" customWidth="1"/>
    <col min="2812" max="2812" width="11.6640625" style="47" customWidth="1"/>
    <col min="2813" max="2813" width="19.5" style="47" customWidth="1"/>
    <col min="2814" max="2814" width="25.83203125" style="47" customWidth="1"/>
    <col min="2815" max="2815" width="8.83203125" style="47"/>
    <col min="2816" max="2816" width="6.6640625" style="47" customWidth="1"/>
    <col min="2817" max="2817" width="17.1640625" style="47" customWidth="1"/>
    <col min="2818" max="2818" width="14.33203125" style="47" customWidth="1"/>
    <col min="2819" max="2819" width="10.33203125" style="47" customWidth="1"/>
    <col min="2820" max="2820" width="21" style="47" customWidth="1"/>
    <col min="2821" max="2821" width="12.33203125" style="47" customWidth="1"/>
    <col min="2822" max="2822" width="10" style="47" customWidth="1"/>
    <col min="2823" max="2823" width="24.83203125" style="47" customWidth="1"/>
    <col min="2824" max="2824" width="11" style="47" customWidth="1"/>
    <col min="2825" max="2825" width="11.6640625" style="47" customWidth="1"/>
    <col min="2826" max="2826" width="19.5" style="47" customWidth="1"/>
    <col min="2827" max="2827" width="25.83203125" style="47" customWidth="1"/>
    <col min="2828" max="3058" width="8.83203125" style="47"/>
    <col min="3059" max="3059" width="6.6640625" style="47" customWidth="1"/>
    <col min="3060" max="3060" width="17.1640625" style="47" customWidth="1"/>
    <col min="3061" max="3061" width="14.33203125" style="47" customWidth="1"/>
    <col min="3062" max="3062" width="10.33203125" style="47" customWidth="1"/>
    <col min="3063" max="3063" width="21" style="47" customWidth="1"/>
    <col min="3064" max="3064" width="12.33203125" style="47" customWidth="1"/>
    <col min="3065" max="3065" width="10" style="47" customWidth="1"/>
    <col min="3066" max="3066" width="24.83203125" style="47" customWidth="1"/>
    <col min="3067" max="3067" width="11" style="47" customWidth="1"/>
    <col min="3068" max="3068" width="11.6640625" style="47" customWidth="1"/>
    <col min="3069" max="3069" width="19.5" style="47" customWidth="1"/>
    <col min="3070" max="3070" width="25.83203125" style="47" customWidth="1"/>
    <col min="3071" max="3071" width="8.83203125" style="47"/>
    <col min="3072" max="3072" width="6.6640625" style="47" customWidth="1"/>
    <col min="3073" max="3073" width="17.1640625" style="47" customWidth="1"/>
    <col min="3074" max="3074" width="14.33203125" style="47" customWidth="1"/>
    <col min="3075" max="3075" width="10.33203125" style="47" customWidth="1"/>
    <col min="3076" max="3076" width="21" style="47" customWidth="1"/>
    <col min="3077" max="3077" width="12.33203125" style="47" customWidth="1"/>
    <col min="3078" max="3078" width="10" style="47" customWidth="1"/>
    <col min="3079" max="3079" width="24.83203125" style="47" customWidth="1"/>
    <col min="3080" max="3080" width="11" style="47" customWidth="1"/>
    <col min="3081" max="3081" width="11.6640625" style="47" customWidth="1"/>
    <col min="3082" max="3082" width="19.5" style="47" customWidth="1"/>
    <col min="3083" max="3083" width="25.83203125" style="47" customWidth="1"/>
    <col min="3084" max="3314" width="8.83203125" style="47"/>
    <col min="3315" max="3315" width="6.6640625" style="47" customWidth="1"/>
    <col min="3316" max="3316" width="17.1640625" style="47" customWidth="1"/>
    <col min="3317" max="3317" width="14.33203125" style="47" customWidth="1"/>
    <col min="3318" max="3318" width="10.33203125" style="47" customWidth="1"/>
    <col min="3319" max="3319" width="21" style="47" customWidth="1"/>
    <col min="3320" max="3320" width="12.33203125" style="47" customWidth="1"/>
    <col min="3321" max="3321" width="10" style="47" customWidth="1"/>
    <col min="3322" max="3322" width="24.83203125" style="47" customWidth="1"/>
    <col min="3323" max="3323" width="11" style="47" customWidth="1"/>
    <col min="3324" max="3324" width="11.6640625" style="47" customWidth="1"/>
    <col min="3325" max="3325" width="19.5" style="47" customWidth="1"/>
    <col min="3326" max="3326" width="25.83203125" style="47" customWidth="1"/>
    <col min="3327" max="3327" width="8.83203125" style="47"/>
    <col min="3328" max="3328" width="6.6640625" style="47" customWidth="1"/>
    <col min="3329" max="3329" width="17.1640625" style="47" customWidth="1"/>
    <col min="3330" max="3330" width="14.33203125" style="47" customWidth="1"/>
    <col min="3331" max="3331" width="10.33203125" style="47" customWidth="1"/>
    <col min="3332" max="3332" width="21" style="47" customWidth="1"/>
    <col min="3333" max="3333" width="12.33203125" style="47" customWidth="1"/>
    <col min="3334" max="3334" width="10" style="47" customWidth="1"/>
    <col min="3335" max="3335" width="24.83203125" style="47" customWidth="1"/>
    <col min="3336" max="3336" width="11" style="47" customWidth="1"/>
    <col min="3337" max="3337" width="11.6640625" style="47" customWidth="1"/>
    <col min="3338" max="3338" width="19.5" style="47" customWidth="1"/>
    <col min="3339" max="3339" width="25.83203125" style="47" customWidth="1"/>
    <col min="3340" max="3570" width="8.83203125" style="47"/>
    <col min="3571" max="3571" width="6.6640625" style="47" customWidth="1"/>
    <col min="3572" max="3572" width="17.1640625" style="47" customWidth="1"/>
    <col min="3573" max="3573" width="14.33203125" style="47" customWidth="1"/>
    <col min="3574" max="3574" width="10.33203125" style="47" customWidth="1"/>
    <col min="3575" max="3575" width="21" style="47" customWidth="1"/>
    <col min="3576" max="3576" width="12.33203125" style="47" customWidth="1"/>
    <col min="3577" max="3577" width="10" style="47" customWidth="1"/>
    <col min="3578" max="3578" width="24.83203125" style="47" customWidth="1"/>
    <col min="3579" max="3579" width="11" style="47" customWidth="1"/>
    <col min="3580" max="3580" width="11.6640625" style="47" customWidth="1"/>
    <col min="3581" max="3581" width="19.5" style="47" customWidth="1"/>
    <col min="3582" max="3582" width="25.83203125" style="47" customWidth="1"/>
    <col min="3583" max="3583" width="8.83203125" style="47"/>
    <col min="3584" max="3584" width="6.6640625" style="47" customWidth="1"/>
    <col min="3585" max="3585" width="17.1640625" style="47" customWidth="1"/>
    <col min="3586" max="3586" width="14.33203125" style="47" customWidth="1"/>
    <col min="3587" max="3587" width="10.33203125" style="47" customWidth="1"/>
    <col min="3588" max="3588" width="21" style="47" customWidth="1"/>
    <col min="3589" max="3589" width="12.33203125" style="47" customWidth="1"/>
    <col min="3590" max="3590" width="10" style="47" customWidth="1"/>
    <col min="3591" max="3591" width="24.83203125" style="47" customWidth="1"/>
    <col min="3592" max="3592" width="11" style="47" customWidth="1"/>
    <col min="3593" max="3593" width="11.6640625" style="47" customWidth="1"/>
    <col min="3594" max="3594" width="19.5" style="47" customWidth="1"/>
    <col min="3595" max="3595" width="25.83203125" style="47" customWidth="1"/>
    <col min="3596" max="3826" width="8.83203125" style="47"/>
    <col min="3827" max="3827" width="6.6640625" style="47" customWidth="1"/>
    <col min="3828" max="3828" width="17.1640625" style="47" customWidth="1"/>
    <col min="3829" max="3829" width="14.33203125" style="47" customWidth="1"/>
    <col min="3830" max="3830" width="10.33203125" style="47" customWidth="1"/>
    <col min="3831" max="3831" width="21" style="47" customWidth="1"/>
    <col min="3832" max="3832" width="12.33203125" style="47" customWidth="1"/>
    <col min="3833" max="3833" width="10" style="47" customWidth="1"/>
    <col min="3834" max="3834" width="24.83203125" style="47" customWidth="1"/>
    <col min="3835" max="3835" width="11" style="47" customWidth="1"/>
    <col min="3836" max="3836" width="11.6640625" style="47" customWidth="1"/>
    <col min="3837" max="3837" width="19.5" style="47" customWidth="1"/>
    <col min="3838" max="3838" width="25.83203125" style="47" customWidth="1"/>
    <col min="3839" max="3839" width="8.83203125" style="47"/>
    <col min="3840" max="3840" width="6.6640625" style="47" customWidth="1"/>
    <col min="3841" max="3841" width="17.1640625" style="47" customWidth="1"/>
    <col min="3842" max="3842" width="14.33203125" style="47" customWidth="1"/>
    <col min="3843" max="3843" width="10.33203125" style="47" customWidth="1"/>
    <col min="3844" max="3844" width="21" style="47" customWidth="1"/>
    <col min="3845" max="3845" width="12.33203125" style="47" customWidth="1"/>
    <col min="3846" max="3846" width="10" style="47" customWidth="1"/>
    <col min="3847" max="3847" width="24.83203125" style="47" customWidth="1"/>
    <col min="3848" max="3848" width="11" style="47" customWidth="1"/>
    <col min="3849" max="3849" width="11.6640625" style="47" customWidth="1"/>
    <col min="3850" max="3850" width="19.5" style="47" customWidth="1"/>
    <col min="3851" max="3851" width="25.83203125" style="47" customWidth="1"/>
    <col min="3852" max="4082" width="8.83203125" style="47"/>
    <col min="4083" max="4083" width="6.6640625" style="47" customWidth="1"/>
    <col min="4084" max="4084" width="17.1640625" style="47" customWidth="1"/>
    <col min="4085" max="4085" width="14.33203125" style="47" customWidth="1"/>
    <col min="4086" max="4086" width="10.33203125" style="47" customWidth="1"/>
    <col min="4087" max="4087" width="21" style="47" customWidth="1"/>
    <col min="4088" max="4088" width="12.33203125" style="47" customWidth="1"/>
    <col min="4089" max="4089" width="10" style="47" customWidth="1"/>
    <col min="4090" max="4090" width="24.83203125" style="47" customWidth="1"/>
    <col min="4091" max="4091" width="11" style="47" customWidth="1"/>
    <col min="4092" max="4092" width="11.6640625" style="47" customWidth="1"/>
    <col min="4093" max="4093" width="19.5" style="47" customWidth="1"/>
    <col min="4094" max="4094" width="25.83203125" style="47" customWidth="1"/>
    <col min="4095" max="4095" width="8.83203125" style="47"/>
    <col min="4096" max="4096" width="6.6640625" style="47" customWidth="1"/>
    <col min="4097" max="4097" width="17.1640625" style="47" customWidth="1"/>
    <col min="4098" max="4098" width="14.33203125" style="47" customWidth="1"/>
    <col min="4099" max="4099" width="10.33203125" style="47" customWidth="1"/>
    <col min="4100" max="4100" width="21" style="47" customWidth="1"/>
    <col min="4101" max="4101" width="12.33203125" style="47" customWidth="1"/>
    <col min="4102" max="4102" width="10" style="47" customWidth="1"/>
    <col min="4103" max="4103" width="24.83203125" style="47" customWidth="1"/>
    <col min="4104" max="4104" width="11" style="47" customWidth="1"/>
    <col min="4105" max="4105" width="11.6640625" style="47" customWidth="1"/>
    <col min="4106" max="4106" width="19.5" style="47" customWidth="1"/>
    <col min="4107" max="4107" width="25.83203125" style="47" customWidth="1"/>
    <col min="4108" max="4338" width="8.83203125" style="47"/>
    <col min="4339" max="4339" width="6.6640625" style="47" customWidth="1"/>
    <col min="4340" max="4340" width="17.1640625" style="47" customWidth="1"/>
    <col min="4341" max="4341" width="14.33203125" style="47" customWidth="1"/>
    <col min="4342" max="4342" width="10.33203125" style="47" customWidth="1"/>
    <col min="4343" max="4343" width="21" style="47" customWidth="1"/>
    <col min="4344" max="4344" width="12.33203125" style="47" customWidth="1"/>
    <col min="4345" max="4345" width="10" style="47" customWidth="1"/>
    <col min="4346" max="4346" width="24.83203125" style="47" customWidth="1"/>
    <col min="4347" max="4347" width="11" style="47" customWidth="1"/>
    <col min="4348" max="4348" width="11.6640625" style="47" customWidth="1"/>
    <col min="4349" max="4349" width="19.5" style="47" customWidth="1"/>
    <col min="4350" max="4350" width="25.83203125" style="47" customWidth="1"/>
    <col min="4351" max="4351" width="8.83203125" style="47"/>
    <col min="4352" max="4352" width="6.6640625" style="47" customWidth="1"/>
    <col min="4353" max="4353" width="17.1640625" style="47" customWidth="1"/>
    <col min="4354" max="4354" width="14.33203125" style="47" customWidth="1"/>
    <col min="4355" max="4355" width="10.33203125" style="47" customWidth="1"/>
    <col min="4356" max="4356" width="21" style="47" customWidth="1"/>
    <col min="4357" max="4357" width="12.33203125" style="47" customWidth="1"/>
    <col min="4358" max="4358" width="10" style="47" customWidth="1"/>
    <col min="4359" max="4359" width="24.83203125" style="47" customWidth="1"/>
    <col min="4360" max="4360" width="11" style="47" customWidth="1"/>
    <col min="4361" max="4361" width="11.6640625" style="47" customWidth="1"/>
    <col min="4362" max="4362" width="19.5" style="47" customWidth="1"/>
    <col min="4363" max="4363" width="25.83203125" style="47" customWidth="1"/>
    <col min="4364" max="4594" width="8.83203125" style="47"/>
    <col min="4595" max="4595" width="6.6640625" style="47" customWidth="1"/>
    <col min="4596" max="4596" width="17.1640625" style="47" customWidth="1"/>
    <col min="4597" max="4597" width="14.33203125" style="47" customWidth="1"/>
    <col min="4598" max="4598" width="10.33203125" style="47" customWidth="1"/>
    <col min="4599" max="4599" width="21" style="47" customWidth="1"/>
    <col min="4600" max="4600" width="12.33203125" style="47" customWidth="1"/>
    <col min="4601" max="4601" width="10" style="47" customWidth="1"/>
    <col min="4602" max="4602" width="24.83203125" style="47" customWidth="1"/>
    <col min="4603" max="4603" width="11" style="47" customWidth="1"/>
    <col min="4604" max="4604" width="11.6640625" style="47" customWidth="1"/>
    <col min="4605" max="4605" width="19.5" style="47" customWidth="1"/>
    <col min="4606" max="4606" width="25.83203125" style="47" customWidth="1"/>
    <col min="4607" max="4607" width="8.83203125" style="47"/>
    <col min="4608" max="4608" width="6.6640625" style="47" customWidth="1"/>
    <col min="4609" max="4609" width="17.1640625" style="47" customWidth="1"/>
    <col min="4610" max="4610" width="14.33203125" style="47" customWidth="1"/>
    <col min="4611" max="4611" width="10.33203125" style="47" customWidth="1"/>
    <col min="4612" max="4612" width="21" style="47" customWidth="1"/>
    <col min="4613" max="4613" width="12.33203125" style="47" customWidth="1"/>
    <col min="4614" max="4614" width="10" style="47" customWidth="1"/>
    <col min="4615" max="4615" width="24.83203125" style="47" customWidth="1"/>
    <col min="4616" max="4616" width="11" style="47" customWidth="1"/>
    <col min="4617" max="4617" width="11.6640625" style="47" customWidth="1"/>
    <col min="4618" max="4618" width="19.5" style="47" customWidth="1"/>
    <col min="4619" max="4619" width="25.83203125" style="47" customWidth="1"/>
    <col min="4620" max="4850" width="8.83203125" style="47"/>
    <col min="4851" max="4851" width="6.6640625" style="47" customWidth="1"/>
    <col min="4852" max="4852" width="17.1640625" style="47" customWidth="1"/>
    <col min="4853" max="4853" width="14.33203125" style="47" customWidth="1"/>
    <col min="4854" max="4854" width="10.33203125" style="47" customWidth="1"/>
    <col min="4855" max="4855" width="21" style="47" customWidth="1"/>
    <col min="4856" max="4856" width="12.33203125" style="47" customWidth="1"/>
    <col min="4857" max="4857" width="10" style="47" customWidth="1"/>
    <col min="4858" max="4858" width="24.83203125" style="47" customWidth="1"/>
    <col min="4859" max="4859" width="11" style="47" customWidth="1"/>
    <col min="4860" max="4860" width="11.6640625" style="47" customWidth="1"/>
    <col min="4861" max="4861" width="19.5" style="47" customWidth="1"/>
    <col min="4862" max="4862" width="25.83203125" style="47" customWidth="1"/>
    <col min="4863" max="4863" width="8.83203125" style="47"/>
    <col min="4864" max="4864" width="6.6640625" style="47" customWidth="1"/>
    <col min="4865" max="4865" width="17.1640625" style="47" customWidth="1"/>
    <col min="4866" max="4866" width="14.33203125" style="47" customWidth="1"/>
    <col min="4867" max="4867" width="10.33203125" style="47" customWidth="1"/>
    <col min="4868" max="4868" width="21" style="47" customWidth="1"/>
    <col min="4869" max="4869" width="12.33203125" style="47" customWidth="1"/>
    <col min="4870" max="4870" width="10" style="47" customWidth="1"/>
    <col min="4871" max="4871" width="24.83203125" style="47" customWidth="1"/>
    <col min="4872" max="4872" width="11" style="47" customWidth="1"/>
    <col min="4873" max="4873" width="11.6640625" style="47" customWidth="1"/>
    <col min="4874" max="4874" width="19.5" style="47" customWidth="1"/>
    <col min="4875" max="4875" width="25.83203125" style="47" customWidth="1"/>
    <col min="4876" max="5106" width="8.83203125" style="47"/>
    <col min="5107" max="5107" width="6.6640625" style="47" customWidth="1"/>
    <col min="5108" max="5108" width="17.1640625" style="47" customWidth="1"/>
    <col min="5109" max="5109" width="14.33203125" style="47" customWidth="1"/>
    <col min="5110" max="5110" width="10.33203125" style="47" customWidth="1"/>
    <col min="5111" max="5111" width="21" style="47" customWidth="1"/>
    <col min="5112" max="5112" width="12.33203125" style="47" customWidth="1"/>
    <col min="5113" max="5113" width="10" style="47" customWidth="1"/>
    <col min="5114" max="5114" width="24.83203125" style="47" customWidth="1"/>
    <col min="5115" max="5115" width="11" style="47" customWidth="1"/>
    <col min="5116" max="5116" width="11.6640625" style="47" customWidth="1"/>
    <col min="5117" max="5117" width="19.5" style="47" customWidth="1"/>
    <col min="5118" max="5118" width="25.83203125" style="47" customWidth="1"/>
    <col min="5119" max="5119" width="8.83203125" style="47"/>
    <col min="5120" max="5120" width="6.6640625" style="47" customWidth="1"/>
    <col min="5121" max="5121" width="17.1640625" style="47" customWidth="1"/>
    <col min="5122" max="5122" width="14.33203125" style="47" customWidth="1"/>
    <col min="5123" max="5123" width="10.33203125" style="47" customWidth="1"/>
    <col min="5124" max="5124" width="21" style="47" customWidth="1"/>
    <col min="5125" max="5125" width="12.33203125" style="47" customWidth="1"/>
    <col min="5126" max="5126" width="10" style="47" customWidth="1"/>
    <col min="5127" max="5127" width="24.83203125" style="47" customWidth="1"/>
    <col min="5128" max="5128" width="11" style="47" customWidth="1"/>
    <col min="5129" max="5129" width="11.6640625" style="47" customWidth="1"/>
    <col min="5130" max="5130" width="19.5" style="47" customWidth="1"/>
    <col min="5131" max="5131" width="25.83203125" style="47" customWidth="1"/>
    <col min="5132" max="5362" width="8.83203125" style="47"/>
    <col min="5363" max="5363" width="6.6640625" style="47" customWidth="1"/>
    <col min="5364" max="5364" width="17.1640625" style="47" customWidth="1"/>
    <col min="5365" max="5365" width="14.33203125" style="47" customWidth="1"/>
    <col min="5366" max="5366" width="10.33203125" style="47" customWidth="1"/>
    <col min="5367" max="5367" width="21" style="47" customWidth="1"/>
    <col min="5368" max="5368" width="12.33203125" style="47" customWidth="1"/>
    <col min="5369" max="5369" width="10" style="47" customWidth="1"/>
    <col min="5370" max="5370" width="24.83203125" style="47" customWidth="1"/>
    <col min="5371" max="5371" width="11" style="47" customWidth="1"/>
    <col min="5372" max="5372" width="11.6640625" style="47" customWidth="1"/>
    <col min="5373" max="5373" width="19.5" style="47" customWidth="1"/>
    <col min="5374" max="5374" width="25.83203125" style="47" customWidth="1"/>
    <col min="5375" max="5375" width="8.83203125" style="47"/>
    <col min="5376" max="5376" width="6.6640625" style="47" customWidth="1"/>
    <col min="5377" max="5377" width="17.1640625" style="47" customWidth="1"/>
    <col min="5378" max="5378" width="14.33203125" style="47" customWidth="1"/>
    <col min="5379" max="5379" width="10.33203125" style="47" customWidth="1"/>
    <col min="5380" max="5380" width="21" style="47" customWidth="1"/>
    <col min="5381" max="5381" width="12.33203125" style="47" customWidth="1"/>
    <col min="5382" max="5382" width="10" style="47" customWidth="1"/>
    <col min="5383" max="5383" width="24.83203125" style="47" customWidth="1"/>
    <col min="5384" max="5384" width="11" style="47" customWidth="1"/>
    <col min="5385" max="5385" width="11.6640625" style="47" customWidth="1"/>
    <col min="5386" max="5386" width="19.5" style="47" customWidth="1"/>
    <col min="5387" max="5387" width="25.83203125" style="47" customWidth="1"/>
    <col min="5388" max="5618" width="8.83203125" style="47"/>
    <col min="5619" max="5619" width="6.6640625" style="47" customWidth="1"/>
    <col min="5620" max="5620" width="17.1640625" style="47" customWidth="1"/>
    <col min="5621" max="5621" width="14.33203125" style="47" customWidth="1"/>
    <col min="5622" max="5622" width="10.33203125" style="47" customWidth="1"/>
    <col min="5623" max="5623" width="21" style="47" customWidth="1"/>
    <col min="5624" max="5624" width="12.33203125" style="47" customWidth="1"/>
    <col min="5625" max="5625" width="10" style="47" customWidth="1"/>
    <col min="5626" max="5626" width="24.83203125" style="47" customWidth="1"/>
    <col min="5627" max="5627" width="11" style="47" customWidth="1"/>
    <col min="5628" max="5628" width="11.6640625" style="47" customWidth="1"/>
    <col min="5629" max="5629" width="19.5" style="47" customWidth="1"/>
    <col min="5630" max="5630" width="25.83203125" style="47" customWidth="1"/>
    <col min="5631" max="5631" width="8.83203125" style="47"/>
    <col min="5632" max="5632" width="6.6640625" style="47" customWidth="1"/>
    <col min="5633" max="5633" width="17.1640625" style="47" customWidth="1"/>
    <col min="5634" max="5634" width="14.33203125" style="47" customWidth="1"/>
    <col min="5635" max="5635" width="10.33203125" style="47" customWidth="1"/>
    <col min="5636" max="5636" width="21" style="47" customWidth="1"/>
    <col min="5637" max="5637" width="12.33203125" style="47" customWidth="1"/>
    <col min="5638" max="5638" width="10" style="47" customWidth="1"/>
    <col min="5639" max="5639" width="24.83203125" style="47" customWidth="1"/>
    <col min="5640" max="5640" width="11" style="47" customWidth="1"/>
    <col min="5641" max="5641" width="11.6640625" style="47" customWidth="1"/>
    <col min="5642" max="5642" width="19.5" style="47" customWidth="1"/>
    <col min="5643" max="5643" width="25.83203125" style="47" customWidth="1"/>
    <col min="5644" max="5874" width="8.83203125" style="47"/>
    <col min="5875" max="5875" width="6.6640625" style="47" customWidth="1"/>
    <col min="5876" max="5876" width="17.1640625" style="47" customWidth="1"/>
    <col min="5877" max="5877" width="14.33203125" style="47" customWidth="1"/>
    <col min="5878" max="5878" width="10.33203125" style="47" customWidth="1"/>
    <col min="5879" max="5879" width="21" style="47" customWidth="1"/>
    <col min="5880" max="5880" width="12.33203125" style="47" customWidth="1"/>
    <col min="5881" max="5881" width="10" style="47" customWidth="1"/>
    <col min="5882" max="5882" width="24.83203125" style="47" customWidth="1"/>
    <col min="5883" max="5883" width="11" style="47" customWidth="1"/>
    <col min="5884" max="5884" width="11.6640625" style="47" customWidth="1"/>
    <col min="5885" max="5885" width="19.5" style="47" customWidth="1"/>
    <col min="5886" max="5886" width="25.83203125" style="47" customWidth="1"/>
    <col min="5887" max="5887" width="8.83203125" style="47"/>
    <col min="5888" max="5888" width="6.6640625" style="47" customWidth="1"/>
    <col min="5889" max="5889" width="17.1640625" style="47" customWidth="1"/>
    <col min="5890" max="5890" width="14.33203125" style="47" customWidth="1"/>
    <col min="5891" max="5891" width="10.33203125" style="47" customWidth="1"/>
    <col min="5892" max="5892" width="21" style="47" customWidth="1"/>
    <col min="5893" max="5893" width="12.33203125" style="47" customWidth="1"/>
    <col min="5894" max="5894" width="10" style="47" customWidth="1"/>
    <col min="5895" max="5895" width="24.83203125" style="47" customWidth="1"/>
    <col min="5896" max="5896" width="11" style="47" customWidth="1"/>
    <col min="5897" max="5897" width="11.6640625" style="47" customWidth="1"/>
    <col min="5898" max="5898" width="19.5" style="47" customWidth="1"/>
    <col min="5899" max="5899" width="25.83203125" style="47" customWidth="1"/>
    <col min="5900" max="6130" width="8.83203125" style="47"/>
    <col min="6131" max="6131" width="6.6640625" style="47" customWidth="1"/>
    <col min="6132" max="6132" width="17.1640625" style="47" customWidth="1"/>
    <col min="6133" max="6133" width="14.33203125" style="47" customWidth="1"/>
    <col min="6134" max="6134" width="10.33203125" style="47" customWidth="1"/>
    <col min="6135" max="6135" width="21" style="47" customWidth="1"/>
    <col min="6136" max="6136" width="12.33203125" style="47" customWidth="1"/>
    <col min="6137" max="6137" width="10" style="47" customWidth="1"/>
    <col min="6138" max="6138" width="24.83203125" style="47" customWidth="1"/>
    <col min="6139" max="6139" width="11" style="47" customWidth="1"/>
    <col min="6140" max="6140" width="11.6640625" style="47" customWidth="1"/>
    <col min="6141" max="6141" width="19.5" style="47" customWidth="1"/>
    <col min="6142" max="6142" width="25.83203125" style="47" customWidth="1"/>
    <col min="6143" max="6143" width="8.83203125" style="47"/>
    <col min="6144" max="6144" width="6.6640625" style="47" customWidth="1"/>
    <col min="6145" max="6145" width="17.1640625" style="47" customWidth="1"/>
    <col min="6146" max="6146" width="14.33203125" style="47" customWidth="1"/>
    <col min="6147" max="6147" width="10.33203125" style="47" customWidth="1"/>
    <col min="6148" max="6148" width="21" style="47" customWidth="1"/>
    <col min="6149" max="6149" width="12.33203125" style="47" customWidth="1"/>
    <col min="6150" max="6150" width="10" style="47" customWidth="1"/>
    <col min="6151" max="6151" width="24.83203125" style="47" customWidth="1"/>
    <col min="6152" max="6152" width="11" style="47" customWidth="1"/>
    <col min="6153" max="6153" width="11.6640625" style="47" customWidth="1"/>
    <col min="6154" max="6154" width="19.5" style="47" customWidth="1"/>
    <col min="6155" max="6155" width="25.83203125" style="47" customWidth="1"/>
    <col min="6156" max="6386" width="8.83203125" style="47"/>
    <col min="6387" max="6387" width="6.6640625" style="47" customWidth="1"/>
    <col min="6388" max="6388" width="17.1640625" style="47" customWidth="1"/>
    <col min="6389" max="6389" width="14.33203125" style="47" customWidth="1"/>
    <col min="6390" max="6390" width="10.33203125" style="47" customWidth="1"/>
    <col min="6391" max="6391" width="21" style="47" customWidth="1"/>
    <col min="6392" max="6392" width="12.33203125" style="47" customWidth="1"/>
    <col min="6393" max="6393" width="10" style="47" customWidth="1"/>
    <col min="6394" max="6394" width="24.83203125" style="47" customWidth="1"/>
    <col min="6395" max="6395" width="11" style="47" customWidth="1"/>
    <col min="6396" max="6396" width="11.6640625" style="47" customWidth="1"/>
    <col min="6397" max="6397" width="19.5" style="47" customWidth="1"/>
    <col min="6398" max="6398" width="25.83203125" style="47" customWidth="1"/>
    <col min="6399" max="6399" width="8.83203125" style="47"/>
    <col min="6400" max="6400" width="6.6640625" style="47" customWidth="1"/>
    <col min="6401" max="6401" width="17.1640625" style="47" customWidth="1"/>
    <col min="6402" max="6402" width="14.33203125" style="47" customWidth="1"/>
    <col min="6403" max="6403" width="10.33203125" style="47" customWidth="1"/>
    <col min="6404" max="6404" width="21" style="47" customWidth="1"/>
    <col min="6405" max="6405" width="12.33203125" style="47" customWidth="1"/>
    <col min="6406" max="6406" width="10" style="47" customWidth="1"/>
    <col min="6407" max="6407" width="24.83203125" style="47" customWidth="1"/>
    <col min="6408" max="6408" width="11" style="47" customWidth="1"/>
    <col min="6409" max="6409" width="11.6640625" style="47" customWidth="1"/>
    <col min="6410" max="6410" width="19.5" style="47" customWidth="1"/>
    <col min="6411" max="6411" width="25.83203125" style="47" customWidth="1"/>
    <col min="6412" max="6642" width="8.83203125" style="47"/>
    <col min="6643" max="6643" width="6.6640625" style="47" customWidth="1"/>
    <col min="6644" max="6644" width="17.1640625" style="47" customWidth="1"/>
    <col min="6645" max="6645" width="14.33203125" style="47" customWidth="1"/>
    <col min="6646" max="6646" width="10.33203125" style="47" customWidth="1"/>
    <col min="6647" max="6647" width="21" style="47" customWidth="1"/>
    <col min="6648" max="6648" width="12.33203125" style="47" customWidth="1"/>
    <col min="6649" max="6649" width="10" style="47" customWidth="1"/>
    <col min="6650" max="6650" width="24.83203125" style="47" customWidth="1"/>
    <col min="6651" max="6651" width="11" style="47" customWidth="1"/>
    <col min="6652" max="6652" width="11.6640625" style="47" customWidth="1"/>
    <col min="6653" max="6653" width="19.5" style="47" customWidth="1"/>
    <col min="6654" max="6654" width="25.83203125" style="47" customWidth="1"/>
    <col min="6655" max="6655" width="8.83203125" style="47"/>
    <col min="6656" max="6656" width="6.6640625" style="47" customWidth="1"/>
    <col min="6657" max="6657" width="17.1640625" style="47" customWidth="1"/>
    <col min="6658" max="6658" width="14.33203125" style="47" customWidth="1"/>
    <col min="6659" max="6659" width="10.33203125" style="47" customWidth="1"/>
    <col min="6660" max="6660" width="21" style="47" customWidth="1"/>
    <col min="6661" max="6661" width="12.33203125" style="47" customWidth="1"/>
    <col min="6662" max="6662" width="10" style="47" customWidth="1"/>
    <col min="6663" max="6663" width="24.83203125" style="47" customWidth="1"/>
    <col min="6664" max="6664" width="11" style="47" customWidth="1"/>
    <col min="6665" max="6665" width="11.6640625" style="47" customWidth="1"/>
    <col min="6666" max="6666" width="19.5" style="47" customWidth="1"/>
    <col min="6667" max="6667" width="25.83203125" style="47" customWidth="1"/>
    <col min="6668" max="6898" width="8.83203125" style="47"/>
    <col min="6899" max="6899" width="6.6640625" style="47" customWidth="1"/>
    <col min="6900" max="6900" width="17.1640625" style="47" customWidth="1"/>
    <col min="6901" max="6901" width="14.33203125" style="47" customWidth="1"/>
    <col min="6902" max="6902" width="10.33203125" style="47" customWidth="1"/>
    <col min="6903" max="6903" width="21" style="47" customWidth="1"/>
    <col min="6904" max="6904" width="12.33203125" style="47" customWidth="1"/>
    <col min="6905" max="6905" width="10" style="47" customWidth="1"/>
    <col min="6906" max="6906" width="24.83203125" style="47" customWidth="1"/>
    <col min="6907" max="6907" width="11" style="47" customWidth="1"/>
    <col min="6908" max="6908" width="11.6640625" style="47" customWidth="1"/>
    <col min="6909" max="6909" width="19.5" style="47" customWidth="1"/>
    <col min="6910" max="6910" width="25.83203125" style="47" customWidth="1"/>
    <col min="6911" max="6911" width="8.83203125" style="47"/>
    <col min="6912" max="6912" width="6.6640625" style="47" customWidth="1"/>
    <col min="6913" max="6913" width="17.1640625" style="47" customWidth="1"/>
    <col min="6914" max="6914" width="14.33203125" style="47" customWidth="1"/>
    <col min="6915" max="6915" width="10.33203125" style="47" customWidth="1"/>
    <col min="6916" max="6916" width="21" style="47" customWidth="1"/>
    <col min="6917" max="6917" width="12.33203125" style="47" customWidth="1"/>
    <col min="6918" max="6918" width="10" style="47" customWidth="1"/>
    <col min="6919" max="6919" width="24.83203125" style="47" customWidth="1"/>
    <col min="6920" max="6920" width="11" style="47" customWidth="1"/>
    <col min="6921" max="6921" width="11.6640625" style="47" customWidth="1"/>
    <col min="6922" max="6922" width="19.5" style="47" customWidth="1"/>
    <col min="6923" max="6923" width="25.83203125" style="47" customWidth="1"/>
    <col min="6924" max="7154" width="8.83203125" style="47"/>
    <col min="7155" max="7155" width="6.6640625" style="47" customWidth="1"/>
    <col min="7156" max="7156" width="17.1640625" style="47" customWidth="1"/>
    <col min="7157" max="7157" width="14.33203125" style="47" customWidth="1"/>
    <col min="7158" max="7158" width="10.33203125" style="47" customWidth="1"/>
    <col min="7159" max="7159" width="21" style="47" customWidth="1"/>
    <col min="7160" max="7160" width="12.33203125" style="47" customWidth="1"/>
    <col min="7161" max="7161" width="10" style="47" customWidth="1"/>
    <col min="7162" max="7162" width="24.83203125" style="47" customWidth="1"/>
    <col min="7163" max="7163" width="11" style="47" customWidth="1"/>
    <col min="7164" max="7164" width="11.6640625" style="47" customWidth="1"/>
    <col min="7165" max="7165" width="19.5" style="47" customWidth="1"/>
    <col min="7166" max="7166" width="25.83203125" style="47" customWidth="1"/>
    <col min="7167" max="7167" width="8.83203125" style="47"/>
    <col min="7168" max="7168" width="6.6640625" style="47" customWidth="1"/>
    <col min="7169" max="7169" width="17.1640625" style="47" customWidth="1"/>
    <col min="7170" max="7170" width="14.33203125" style="47" customWidth="1"/>
    <col min="7171" max="7171" width="10.33203125" style="47" customWidth="1"/>
    <col min="7172" max="7172" width="21" style="47" customWidth="1"/>
    <col min="7173" max="7173" width="12.33203125" style="47" customWidth="1"/>
    <col min="7174" max="7174" width="10" style="47" customWidth="1"/>
    <col min="7175" max="7175" width="24.83203125" style="47" customWidth="1"/>
    <col min="7176" max="7176" width="11" style="47" customWidth="1"/>
    <col min="7177" max="7177" width="11.6640625" style="47" customWidth="1"/>
    <col min="7178" max="7178" width="19.5" style="47" customWidth="1"/>
    <col min="7179" max="7179" width="25.83203125" style="47" customWidth="1"/>
    <col min="7180" max="7410" width="8.83203125" style="47"/>
    <col min="7411" max="7411" width="6.6640625" style="47" customWidth="1"/>
    <col min="7412" max="7412" width="17.1640625" style="47" customWidth="1"/>
    <col min="7413" max="7413" width="14.33203125" style="47" customWidth="1"/>
    <col min="7414" max="7414" width="10.33203125" style="47" customWidth="1"/>
    <col min="7415" max="7415" width="21" style="47" customWidth="1"/>
    <col min="7416" max="7416" width="12.33203125" style="47" customWidth="1"/>
    <col min="7417" max="7417" width="10" style="47" customWidth="1"/>
    <col min="7418" max="7418" width="24.83203125" style="47" customWidth="1"/>
    <col min="7419" max="7419" width="11" style="47" customWidth="1"/>
    <col min="7420" max="7420" width="11.6640625" style="47" customWidth="1"/>
    <col min="7421" max="7421" width="19.5" style="47" customWidth="1"/>
    <col min="7422" max="7422" width="25.83203125" style="47" customWidth="1"/>
    <col min="7423" max="7423" width="8.83203125" style="47"/>
    <col min="7424" max="7424" width="6.6640625" style="47" customWidth="1"/>
    <col min="7425" max="7425" width="17.1640625" style="47" customWidth="1"/>
    <col min="7426" max="7426" width="14.33203125" style="47" customWidth="1"/>
    <col min="7427" max="7427" width="10.33203125" style="47" customWidth="1"/>
    <col min="7428" max="7428" width="21" style="47" customWidth="1"/>
    <col min="7429" max="7429" width="12.33203125" style="47" customWidth="1"/>
    <col min="7430" max="7430" width="10" style="47" customWidth="1"/>
    <col min="7431" max="7431" width="24.83203125" style="47" customWidth="1"/>
    <col min="7432" max="7432" width="11" style="47" customWidth="1"/>
    <col min="7433" max="7433" width="11.6640625" style="47" customWidth="1"/>
    <col min="7434" max="7434" width="19.5" style="47" customWidth="1"/>
    <col min="7435" max="7435" width="25.83203125" style="47" customWidth="1"/>
    <col min="7436" max="7666" width="8.83203125" style="47"/>
    <col min="7667" max="7667" width="6.6640625" style="47" customWidth="1"/>
    <col min="7668" max="7668" width="17.1640625" style="47" customWidth="1"/>
    <col min="7669" max="7669" width="14.33203125" style="47" customWidth="1"/>
    <col min="7670" max="7670" width="10.33203125" style="47" customWidth="1"/>
    <col min="7671" max="7671" width="21" style="47" customWidth="1"/>
    <col min="7672" max="7672" width="12.33203125" style="47" customWidth="1"/>
    <col min="7673" max="7673" width="10" style="47" customWidth="1"/>
    <col min="7674" max="7674" width="24.83203125" style="47" customWidth="1"/>
    <col min="7675" max="7675" width="11" style="47" customWidth="1"/>
    <col min="7676" max="7676" width="11.6640625" style="47" customWidth="1"/>
    <col min="7677" max="7677" width="19.5" style="47" customWidth="1"/>
    <col min="7678" max="7678" width="25.83203125" style="47" customWidth="1"/>
    <col min="7679" max="7679" width="8.83203125" style="47"/>
    <col min="7680" max="7680" width="6.6640625" style="47" customWidth="1"/>
    <col min="7681" max="7681" width="17.1640625" style="47" customWidth="1"/>
    <col min="7682" max="7682" width="14.33203125" style="47" customWidth="1"/>
    <col min="7683" max="7683" width="10.33203125" style="47" customWidth="1"/>
    <col min="7684" max="7684" width="21" style="47" customWidth="1"/>
    <col min="7685" max="7685" width="12.33203125" style="47" customWidth="1"/>
    <col min="7686" max="7686" width="10" style="47" customWidth="1"/>
    <col min="7687" max="7687" width="24.83203125" style="47" customWidth="1"/>
    <col min="7688" max="7688" width="11" style="47" customWidth="1"/>
    <col min="7689" max="7689" width="11.6640625" style="47" customWidth="1"/>
    <col min="7690" max="7690" width="19.5" style="47" customWidth="1"/>
    <col min="7691" max="7691" width="25.83203125" style="47" customWidth="1"/>
    <col min="7692" max="7922" width="8.83203125" style="47"/>
    <col min="7923" max="7923" width="6.6640625" style="47" customWidth="1"/>
    <col min="7924" max="7924" width="17.1640625" style="47" customWidth="1"/>
    <col min="7925" max="7925" width="14.33203125" style="47" customWidth="1"/>
    <col min="7926" max="7926" width="10.33203125" style="47" customWidth="1"/>
    <col min="7927" max="7927" width="21" style="47" customWidth="1"/>
    <col min="7928" max="7928" width="12.33203125" style="47" customWidth="1"/>
    <col min="7929" max="7929" width="10" style="47" customWidth="1"/>
    <col min="7930" max="7930" width="24.83203125" style="47" customWidth="1"/>
    <col min="7931" max="7931" width="11" style="47" customWidth="1"/>
    <col min="7932" max="7932" width="11.6640625" style="47" customWidth="1"/>
    <col min="7933" max="7933" width="19.5" style="47" customWidth="1"/>
    <col min="7934" max="7934" width="25.83203125" style="47" customWidth="1"/>
    <col min="7935" max="7935" width="8.83203125" style="47"/>
    <col min="7936" max="7936" width="6.6640625" style="47" customWidth="1"/>
    <col min="7937" max="7937" width="17.1640625" style="47" customWidth="1"/>
    <col min="7938" max="7938" width="14.33203125" style="47" customWidth="1"/>
    <col min="7939" max="7939" width="10.33203125" style="47" customWidth="1"/>
    <col min="7940" max="7940" width="21" style="47" customWidth="1"/>
    <col min="7941" max="7941" width="12.33203125" style="47" customWidth="1"/>
    <col min="7942" max="7942" width="10" style="47" customWidth="1"/>
    <col min="7943" max="7943" width="24.83203125" style="47" customWidth="1"/>
    <col min="7944" max="7944" width="11" style="47" customWidth="1"/>
    <col min="7945" max="7945" width="11.6640625" style="47" customWidth="1"/>
    <col min="7946" max="7946" width="19.5" style="47" customWidth="1"/>
    <col min="7947" max="7947" width="25.83203125" style="47" customWidth="1"/>
    <col min="7948" max="8178" width="8.83203125" style="47"/>
    <col min="8179" max="8179" width="6.6640625" style="47" customWidth="1"/>
    <col min="8180" max="8180" width="17.1640625" style="47" customWidth="1"/>
    <col min="8181" max="8181" width="14.33203125" style="47" customWidth="1"/>
    <col min="8182" max="8182" width="10.33203125" style="47" customWidth="1"/>
    <col min="8183" max="8183" width="21" style="47" customWidth="1"/>
    <col min="8184" max="8184" width="12.33203125" style="47" customWidth="1"/>
    <col min="8185" max="8185" width="10" style="47" customWidth="1"/>
    <col min="8186" max="8186" width="24.83203125" style="47" customWidth="1"/>
    <col min="8187" max="8187" width="11" style="47" customWidth="1"/>
    <col min="8188" max="8188" width="11.6640625" style="47" customWidth="1"/>
    <col min="8189" max="8189" width="19.5" style="47" customWidth="1"/>
    <col min="8190" max="8190" width="25.83203125" style="47" customWidth="1"/>
    <col min="8191" max="8191" width="8.83203125" style="47"/>
    <col min="8192" max="8192" width="6.6640625" style="47" customWidth="1"/>
    <col min="8193" max="8193" width="17.1640625" style="47" customWidth="1"/>
    <col min="8194" max="8194" width="14.33203125" style="47" customWidth="1"/>
    <col min="8195" max="8195" width="10.33203125" style="47" customWidth="1"/>
    <col min="8196" max="8196" width="21" style="47" customWidth="1"/>
    <col min="8197" max="8197" width="12.33203125" style="47" customWidth="1"/>
    <col min="8198" max="8198" width="10" style="47" customWidth="1"/>
    <col min="8199" max="8199" width="24.83203125" style="47" customWidth="1"/>
    <col min="8200" max="8200" width="11" style="47" customWidth="1"/>
    <col min="8201" max="8201" width="11.6640625" style="47" customWidth="1"/>
    <col min="8202" max="8202" width="19.5" style="47" customWidth="1"/>
    <col min="8203" max="8203" width="25.83203125" style="47" customWidth="1"/>
    <col min="8204" max="8434" width="8.83203125" style="47"/>
    <col min="8435" max="8435" width="6.6640625" style="47" customWidth="1"/>
    <col min="8436" max="8436" width="17.1640625" style="47" customWidth="1"/>
    <col min="8437" max="8437" width="14.33203125" style="47" customWidth="1"/>
    <col min="8438" max="8438" width="10.33203125" style="47" customWidth="1"/>
    <col min="8439" max="8439" width="21" style="47" customWidth="1"/>
    <col min="8440" max="8440" width="12.33203125" style="47" customWidth="1"/>
    <col min="8441" max="8441" width="10" style="47" customWidth="1"/>
    <col min="8442" max="8442" width="24.83203125" style="47" customWidth="1"/>
    <col min="8443" max="8443" width="11" style="47" customWidth="1"/>
    <col min="8444" max="8444" width="11.6640625" style="47" customWidth="1"/>
    <col min="8445" max="8445" width="19.5" style="47" customWidth="1"/>
    <col min="8446" max="8446" width="25.83203125" style="47" customWidth="1"/>
    <col min="8447" max="8447" width="8.83203125" style="47"/>
    <col min="8448" max="8448" width="6.6640625" style="47" customWidth="1"/>
    <col min="8449" max="8449" width="17.1640625" style="47" customWidth="1"/>
    <col min="8450" max="8450" width="14.33203125" style="47" customWidth="1"/>
    <col min="8451" max="8451" width="10.33203125" style="47" customWidth="1"/>
    <col min="8452" max="8452" width="21" style="47" customWidth="1"/>
    <col min="8453" max="8453" width="12.33203125" style="47" customWidth="1"/>
    <col min="8454" max="8454" width="10" style="47" customWidth="1"/>
    <col min="8455" max="8455" width="24.83203125" style="47" customWidth="1"/>
    <col min="8456" max="8456" width="11" style="47" customWidth="1"/>
    <col min="8457" max="8457" width="11.6640625" style="47" customWidth="1"/>
    <col min="8458" max="8458" width="19.5" style="47" customWidth="1"/>
    <col min="8459" max="8459" width="25.83203125" style="47" customWidth="1"/>
    <col min="8460" max="8690" width="8.83203125" style="47"/>
    <col min="8691" max="8691" width="6.6640625" style="47" customWidth="1"/>
    <col min="8692" max="8692" width="17.1640625" style="47" customWidth="1"/>
    <col min="8693" max="8693" width="14.33203125" style="47" customWidth="1"/>
    <col min="8694" max="8694" width="10.33203125" style="47" customWidth="1"/>
    <col min="8695" max="8695" width="21" style="47" customWidth="1"/>
    <col min="8696" max="8696" width="12.33203125" style="47" customWidth="1"/>
    <col min="8697" max="8697" width="10" style="47" customWidth="1"/>
    <col min="8698" max="8698" width="24.83203125" style="47" customWidth="1"/>
    <col min="8699" max="8699" width="11" style="47" customWidth="1"/>
    <col min="8700" max="8700" width="11.6640625" style="47" customWidth="1"/>
    <col min="8701" max="8701" width="19.5" style="47" customWidth="1"/>
    <col min="8702" max="8702" width="25.83203125" style="47" customWidth="1"/>
    <col min="8703" max="8703" width="8.83203125" style="47"/>
    <col min="8704" max="8704" width="6.6640625" style="47" customWidth="1"/>
    <col min="8705" max="8705" width="17.1640625" style="47" customWidth="1"/>
    <col min="8706" max="8706" width="14.33203125" style="47" customWidth="1"/>
    <col min="8707" max="8707" width="10.33203125" style="47" customWidth="1"/>
    <col min="8708" max="8708" width="21" style="47" customWidth="1"/>
    <col min="8709" max="8709" width="12.33203125" style="47" customWidth="1"/>
    <col min="8710" max="8710" width="10" style="47" customWidth="1"/>
    <col min="8711" max="8711" width="24.83203125" style="47" customWidth="1"/>
    <col min="8712" max="8712" width="11" style="47" customWidth="1"/>
    <col min="8713" max="8713" width="11.6640625" style="47" customWidth="1"/>
    <col min="8714" max="8714" width="19.5" style="47" customWidth="1"/>
    <col min="8715" max="8715" width="25.83203125" style="47" customWidth="1"/>
    <col min="8716" max="8946" width="8.83203125" style="47"/>
    <col min="8947" max="8947" width="6.6640625" style="47" customWidth="1"/>
    <col min="8948" max="8948" width="17.1640625" style="47" customWidth="1"/>
    <col min="8949" max="8949" width="14.33203125" style="47" customWidth="1"/>
    <col min="8950" max="8950" width="10.33203125" style="47" customWidth="1"/>
    <col min="8951" max="8951" width="21" style="47" customWidth="1"/>
    <col min="8952" max="8952" width="12.33203125" style="47" customWidth="1"/>
    <col min="8953" max="8953" width="10" style="47" customWidth="1"/>
    <col min="8954" max="8954" width="24.83203125" style="47" customWidth="1"/>
    <col min="8955" max="8955" width="11" style="47" customWidth="1"/>
    <col min="8956" max="8956" width="11.6640625" style="47" customWidth="1"/>
    <col min="8957" max="8957" width="19.5" style="47" customWidth="1"/>
    <col min="8958" max="8958" width="25.83203125" style="47" customWidth="1"/>
    <col min="8959" max="8959" width="8.83203125" style="47"/>
    <col min="8960" max="8960" width="6.6640625" style="47" customWidth="1"/>
    <col min="8961" max="8961" width="17.1640625" style="47" customWidth="1"/>
    <col min="8962" max="8962" width="14.33203125" style="47" customWidth="1"/>
    <col min="8963" max="8963" width="10.33203125" style="47" customWidth="1"/>
    <col min="8964" max="8964" width="21" style="47" customWidth="1"/>
    <col min="8965" max="8965" width="12.33203125" style="47" customWidth="1"/>
    <col min="8966" max="8966" width="10" style="47" customWidth="1"/>
    <col min="8967" max="8967" width="24.83203125" style="47" customWidth="1"/>
    <col min="8968" max="8968" width="11" style="47" customWidth="1"/>
    <col min="8969" max="8969" width="11.6640625" style="47" customWidth="1"/>
    <col min="8970" max="8970" width="19.5" style="47" customWidth="1"/>
    <col min="8971" max="8971" width="25.83203125" style="47" customWidth="1"/>
    <col min="8972" max="9202" width="8.83203125" style="47"/>
    <col min="9203" max="9203" width="6.6640625" style="47" customWidth="1"/>
    <col min="9204" max="9204" width="17.1640625" style="47" customWidth="1"/>
    <col min="9205" max="9205" width="14.33203125" style="47" customWidth="1"/>
    <col min="9206" max="9206" width="10.33203125" style="47" customWidth="1"/>
    <col min="9207" max="9207" width="21" style="47" customWidth="1"/>
    <col min="9208" max="9208" width="12.33203125" style="47" customWidth="1"/>
    <col min="9209" max="9209" width="10" style="47" customWidth="1"/>
    <col min="9210" max="9210" width="24.83203125" style="47" customWidth="1"/>
    <col min="9211" max="9211" width="11" style="47" customWidth="1"/>
    <col min="9212" max="9212" width="11.6640625" style="47" customWidth="1"/>
    <col min="9213" max="9213" width="19.5" style="47" customWidth="1"/>
    <col min="9214" max="9214" width="25.83203125" style="47" customWidth="1"/>
    <col min="9215" max="9215" width="8.83203125" style="47"/>
    <col min="9216" max="9216" width="6.6640625" style="47" customWidth="1"/>
    <col min="9217" max="9217" width="17.1640625" style="47" customWidth="1"/>
    <col min="9218" max="9218" width="14.33203125" style="47" customWidth="1"/>
    <col min="9219" max="9219" width="10.33203125" style="47" customWidth="1"/>
    <col min="9220" max="9220" width="21" style="47" customWidth="1"/>
    <col min="9221" max="9221" width="12.33203125" style="47" customWidth="1"/>
    <col min="9222" max="9222" width="10" style="47" customWidth="1"/>
    <col min="9223" max="9223" width="24.83203125" style="47" customWidth="1"/>
    <col min="9224" max="9224" width="11" style="47" customWidth="1"/>
    <col min="9225" max="9225" width="11.6640625" style="47" customWidth="1"/>
    <col min="9226" max="9226" width="19.5" style="47" customWidth="1"/>
    <col min="9227" max="9227" width="25.83203125" style="47" customWidth="1"/>
    <col min="9228" max="9458" width="8.83203125" style="47"/>
    <col min="9459" max="9459" width="6.6640625" style="47" customWidth="1"/>
    <col min="9460" max="9460" width="17.1640625" style="47" customWidth="1"/>
    <col min="9461" max="9461" width="14.33203125" style="47" customWidth="1"/>
    <col min="9462" max="9462" width="10.33203125" style="47" customWidth="1"/>
    <col min="9463" max="9463" width="21" style="47" customWidth="1"/>
    <col min="9464" max="9464" width="12.33203125" style="47" customWidth="1"/>
    <col min="9465" max="9465" width="10" style="47" customWidth="1"/>
    <col min="9466" max="9466" width="24.83203125" style="47" customWidth="1"/>
    <col min="9467" max="9467" width="11" style="47" customWidth="1"/>
    <col min="9468" max="9468" width="11.6640625" style="47" customWidth="1"/>
    <col min="9469" max="9469" width="19.5" style="47" customWidth="1"/>
    <col min="9470" max="9470" width="25.83203125" style="47" customWidth="1"/>
    <col min="9471" max="9471" width="8.83203125" style="47"/>
    <col min="9472" max="9472" width="6.6640625" style="47" customWidth="1"/>
    <col min="9473" max="9473" width="17.1640625" style="47" customWidth="1"/>
    <col min="9474" max="9474" width="14.33203125" style="47" customWidth="1"/>
    <col min="9475" max="9475" width="10.33203125" style="47" customWidth="1"/>
    <col min="9476" max="9476" width="21" style="47" customWidth="1"/>
    <col min="9477" max="9477" width="12.33203125" style="47" customWidth="1"/>
    <col min="9478" max="9478" width="10" style="47" customWidth="1"/>
    <col min="9479" max="9479" width="24.83203125" style="47" customWidth="1"/>
    <col min="9480" max="9480" width="11" style="47" customWidth="1"/>
    <col min="9481" max="9481" width="11.6640625" style="47" customWidth="1"/>
    <col min="9482" max="9482" width="19.5" style="47" customWidth="1"/>
    <col min="9483" max="9483" width="25.83203125" style="47" customWidth="1"/>
    <col min="9484" max="9714" width="8.83203125" style="47"/>
    <col min="9715" max="9715" width="6.6640625" style="47" customWidth="1"/>
    <col min="9716" max="9716" width="17.1640625" style="47" customWidth="1"/>
    <col min="9717" max="9717" width="14.33203125" style="47" customWidth="1"/>
    <col min="9718" max="9718" width="10.33203125" style="47" customWidth="1"/>
    <col min="9719" max="9719" width="21" style="47" customWidth="1"/>
    <col min="9720" max="9720" width="12.33203125" style="47" customWidth="1"/>
    <col min="9721" max="9721" width="10" style="47" customWidth="1"/>
    <col min="9722" max="9722" width="24.83203125" style="47" customWidth="1"/>
    <col min="9723" max="9723" width="11" style="47" customWidth="1"/>
    <col min="9724" max="9724" width="11.6640625" style="47" customWidth="1"/>
    <col min="9725" max="9725" width="19.5" style="47" customWidth="1"/>
    <col min="9726" max="9726" width="25.83203125" style="47" customWidth="1"/>
    <col min="9727" max="9727" width="8.83203125" style="47"/>
    <col min="9728" max="9728" width="6.6640625" style="47" customWidth="1"/>
    <col min="9729" max="9729" width="17.1640625" style="47" customWidth="1"/>
    <col min="9730" max="9730" width="14.33203125" style="47" customWidth="1"/>
    <col min="9731" max="9731" width="10.33203125" style="47" customWidth="1"/>
    <col min="9732" max="9732" width="21" style="47" customWidth="1"/>
    <col min="9733" max="9733" width="12.33203125" style="47" customWidth="1"/>
    <col min="9734" max="9734" width="10" style="47" customWidth="1"/>
    <col min="9735" max="9735" width="24.83203125" style="47" customWidth="1"/>
    <col min="9736" max="9736" width="11" style="47" customWidth="1"/>
    <col min="9737" max="9737" width="11.6640625" style="47" customWidth="1"/>
    <col min="9738" max="9738" width="19.5" style="47" customWidth="1"/>
    <col min="9739" max="9739" width="25.83203125" style="47" customWidth="1"/>
    <col min="9740" max="9970" width="8.83203125" style="47"/>
    <col min="9971" max="9971" width="6.6640625" style="47" customWidth="1"/>
    <col min="9972" max="9972" width="17.1640625" style="47" customWidth="1"/>
    <col min="9973" max="9973" width="14.33203125" style="47" customWidth="1"/>
    <col min="9974" max="9974" width="10.33203125" style="47" customWidth="1"/>
    <col min="9975" max="9975" width="21" style="47" customWidth="1"/>
    <col min="9976" max="9976" width="12.33203125" style="47" customWidth="1"/>
    <col min="9977" max="9977" width="10" style="47" customWidth="1"/>
    <col min="9978" max="9978" width="24.83203125" style="47" customWidth="1"/>
    <col min="9979" max="9979" width="11" style="47" customWidth="1"/>
    <col min="9980" max="9980" width="11.6640625" style="47" customWidth="1"/>
    <col min="9981" max="9981" width="19.5" style="47" customWidth="1"/>
    <col min="9982" max="9982" width="25.83203125" style="47" customWidth="1"/>
    <col min="9983" max="9983" width="8.83203125" style="47"/>
    <col min="9984" max="9984" width="6.6640625" style="47" customWidth="1"/>
    <col min="9985" max="9985" width="17.1640625" style="47" customWidth="1"/>
    <col min="9986" max="9986" width="14.33203125" style="47" customWidth="1"/>
    <col min="9987" max="9987" width="10.33203125" style="47" customWidth="1"/>
    <col min="9988" max="9988" width="21" style="47" customWidth="1"/>
    <col min="9989" max="9989" width="12.33203125" style="47" customWidth="1"/>
    <col min="9990" max="9990" width="10" style="47" customWidth="1"/>
    <col min="9991" max="9991" width="24.83203125" style="47" customWidth="1"/>
    <col min="9992" max="9992" width="11" style="47" customWidth="1"/>
    <col min="9993" max="9993" width="11.6640625" style="47" customWidth="1"/>
    <col min="9994" max="9994" width="19.5" style="47" customWidth="1"/>
    <col min="9995" max="9995" width="25.83203125" style="47" customWidth="1"/>
    <col min="9996" max="10226" width="8.83203125" style="47"/>
    <col min="10227" max="10227" width="6.6640625" style="47" customWidth="1"/>
    <col min="10228" max="10228" width="17.1640625" style="47" customWidth="1"/>
    <col min="10229" max="10229" width="14.33203125" style="47" customWidth="1"/>
    <col min="10230" max="10230" width="10.33203125" style="47" customWidth="1"/>
    <col min="10231" max="10231" width="21" style="47" customWidth="1"/>
    <col min="10232" max="10232" width="12.33203125" style="47" customWidth="1"/>
    <col min="10233" max="10233" width="10" style="47" customWidth="1"/>
    <col min="10234" max="10234" width="24.83203125" style="47" customWidth="1"/>
    <col min="10235" max="10235" width="11" style="47" customWidth="1"/>
    <col min="10236" max="10236" width="11.6640625" style="47" customWidth="1"/>
    <col min="10237" max="10237" width="19.5" style="47" customWidth="1"/>
    <col min="10238" max="10238" width="25.83203125" style="47" customWidth="1"/>
    <col min="10239" max="10239" width="8.83203125" style="47"/>
    <col min="10240" max="10240" width="6.6640625" style="47" customWidth="1"/>
    <col min="10241" max="10241" width="17.1640625" style="47" customWidth="1"/>
    <col min="10242" max="10242" width="14.33203125" style="47" customWidth="1"/>
    <col min="10243" max="10243" width="10.33203125" style="47" customWidth="1"/>
    <col min="10244" max="10244" width="21" style="47" customWidth="1"/>
    <col min="10245" max="10245" width="12.33203125" style="47" customWidth="1"/>
    <col min="10246" max="10246" width="10" style="47" customWidth="1"/>
    <col min="10247" max="10247" width="24.83203125" style="47" customWidth="1"/>
    <col min="10248" max="10248" width="11" style="47" customWidth="1"/>
    <col min="10249" max="10249" width="11.6640625" style="47" customWidth="1"/>
    <col min="10250" max="10250" width="19.5" style="47" customWidth="1"/>
    <col min="10251" max="10251" width="25.83203125" style="47" customWidth="1"/>
    <col min="10252" max="10482" width="8.83203125" style="47"/>
    <col min="10483" max="10483" width="6.6640625" style="47" customWidth="1"/>
    <col min="10484" max="10484" width="17.1640625" style="47" customWidth="1"/>
    <col min="10485" max="10485" width="14.33203125" style="47" customWidth="1"/>
    <col min="10486" max="10486" width="10.33203125" style="47" customWidth="1"/>
    <col min="10487" max="10487" width="21" style="47" customWidth="1"/>
    <col min="10488" max="10488" width="12.33203125" style="47" customWidth="1"/>
    <col min="10489" max="10489" width="10" style="47" customWidth="1"/>
    <col min="10490" max="10490" width="24.83203125" style="47" customWidth="1"/>
    <col min="10491" max="10491" width="11" style="47" customWidth="1"/>
    <col min="10492" max="10492" width="11.6640625" style="47" customWidth="1"/>
    <col min="10493" max="10493" width="19.5" style="47" customWidth="1"/>
    <col min="10494" max="10494" width="25.83203125" style="47" customWidth="1"/>
    <col min="10495" max="10495" width="8.83203125" style="47"/>
    <col min="10496" max="10496" width="6.6640625" style="47" customWidth="1"/>
    <col min="10497" max="10497" width="17.1640625" style="47" customWidth="1"/>
    <col min="10498" max="10498" width="14.33203125" style="47" customWidth="1"/>
    <col min="10499" max="10499" width="10.33203125" style="47" customWidth="1"/>
    <col min="10500" max="10500" width="21" style="47" customWidth="1"/>
    <col min="10501" max="10501" width="12.33203125" style="47" customWidth="1"/>
    <col min="10502" max="10502" width="10" style="47" customWidth="1"/>
    <col min="10503" max="10503" width="24.83203125" style="47" customWidth="1"/>
    <col min="10504" max="10504" width="11" style="47" customWidth="1"/>
    <col min="10505" max="10505" width="11.6640625" style="47" customWidth="1"/>
    <col min="10506" max="10506" width="19.5" style="47" customWidth="1"/>
    <col min="10507" max="10507" width="25.83203125" style="47" customWidth="1"/>
    <col min="10508" max="10738" width="8.83203125" style="47"/>
    <col min="10739" max="10739" width="6.6640625" style="47" customWidth="1"/>
    <col min="10740" max="10740" width="17.1640625" style="47" customWidth="1"/>
    <col min="10741" max="10741" width="14.33203125" style="47" customWidth="1"/>
    <col min="10742" max="10742" width="10.33203125" style="47" customWidth="1"/>
    <col min="10743" max="10743" width="21" style="47" customWidth="1"/>
    <col min="10744" max="10744" width="12.33203125" style="47" customWidth="1"/>
    <col min="10745" max="10745" width="10" style="47" customWidth="1"/>
    <col min="10746" max="10746" width="24.83203125" style="47" customWidth="1"/>
    <col min="10747" max="10747" width="11" style="47" customWidth="1"/>
    <col min="10748" max="10748" width="11.6640625" style="47" customWidth="1"/>
    <col min="10749" max="10749" width="19.5" style="47" customWidth="1"/>
    <col min="10750" max="10750" width="25.83203125" style="47" customWidth="1"/>
    <col min="10751" max="10751" width="8.83203125" style="47"/>
    <col min="10752" max="10752" width="6.6640625" style="47" customWidth="1"/>
    <col min="10753" max="10753" width="17.1640625" style="47" customWidth="1"/>
    <col min="10754" max="10754" width="14.33203125" style="47" customWidth="1"/>
    <col min="10755" max="10755" width="10.33203125" style="47" customWidth="1"/>
    <col min="10756" max="10756" width="21" style="47" customWidth="1"/>
    <col min="10757" max="10757" width="12.33203125" style="47" customWidth="1"/>
    <col min="10758" max="10758" width="10" style="47" customWidth="1"/>
    <col min="10759" max="10759" width="24.83203125" style="47" customWidth="1"/>
    <col min="10760" max="10760" width="11" style="47" customWidth="1"/>
    <col min="10761" max="10761" width="11.6640625" style="47" customWidth="1"/>
    <col min="10762" max="10762" width="19.5" style="47" customWidth="1"/>
    <col min="10763" max="10763" width="25.83203125" style="47" customWidth="1"/>
    <col min="10764" max="10994" width="8.83203125" style="47"/>
    <col min="10995" max="10995" width="6.6640625" style="47" customWidth="1"/>
    <col min="10996" max="10996" width="17.1640625" style="47" customWidth="1"/>
    <col min="10997" max="10997" width="14.33203125" style="47" customWidth="1"/>
    <col min="10998" max="10998" width="10.33203125" style="47" customWidth="1"/>
    <col min="10999" max="10999" width="21" style="47" customWidth="1"/>
    <col min="11000" max="11000" width="12.33203125" style="47" customWidth="1"/>
    <col min="11001" max="11001" width="10" style="47" customWidth="1"/>
    <col min="11002" max="11002" width="24.83203125" style="47" customWidth="1"/>
    <col min="11003" max="11003" width="11" style="47" customWidth="1"/>
    <col min="11004" max="11004" width="11.6640625" style="47" customWidth="1"/>
    <col min="11005" max="11005" width="19.5" style="47" customWidth="1"/>
    <col min="11006" max="11006" width="25.83203125" style="47" customWidth="1"/>
    <col min="11007" max="11007" width="8.83203125" style="47"/>
    <col min="11008" max="11008" width="6.6640625" style="47" customWidth="1"/>
    <col min="11009" max="11009" width="17.1640625" style="47" customWidth="1"/>
    <col min="11010" max="11010" width="14.33203125" style="47" customWidth="1"/>
    <col min="11011" max="11011" width="10.33203125" style="47" customWidth="1"/>
    <col min="11012" max="11012" width="21" style="47" customWidth="1"/>
    <col min="11013" max="11013" width="12.33203125" style="47" customWidth="1"/>
    <col min="11014" max="11014" width="10" style="47" customWidth="1"/>
    <col min="11015" max="11015" width="24.83203125" style="47" customWidth="1"/>
    <col min="11016" max="11016" width="11" style="47" customWidth="1"/>
    <col min="11017" max="11017" width="11.6640625" style="47" customWidth="1"/>
    <col min="11018" max="11018" width="19.5" style="47" customWidth="1"/>
    <col min="11019" max="11019" width="25.83203125" style="47" customWidth="1"/>
    <col min="11020" max="11250" width="8.83203125" style="47"/>
    <col min="11251" max="11251" width="6.6640625" style="47" customWidth="1"/>
    <col min="11252" max="11252" width="17.1640625" style="47" customWidth="1"/>
    <col min="11253" max="11253" width="14.33203125" style="47" customWidth="1"/>
    <col min="11254" max="11254" width="10.33203125" style="47" customWidth="1"/>
    <col min="11255" max="11255" width="21" style="47" customWidth="1"/>
    <col min="11256" max="11256" width="12.33203125" style="47" customWidth="1"/>
    <col min="11257" max="11257" width="10" style="47" customWidth="1"/>
    <col min="11258" max="11258" width="24.83203125" style="47" customWidth="1"/>
    <col min="11259" max="11259" width="11" style="47" customWidth="1"/>
    <col min="11260" max="11260" width="11.6640625" style="47" customWidth="1"/>
    <col min="11261" max="11261" width="19.5" style="47" customWidth="1"/>
    <col min="11262" max="11262" width="25.83203125" style="47" customWidth="1"/>
    <col min="11263" max="11263" width="8.83203125" style="47"/>
    <col min="11264" max="11264" width="6.6640625" style="47" customWidth="1"/>
    <col min="11265" max="11265" width="17.1640625" style="47" customWidth="1"/>
    <col min="11266" max="11266" width="14.33203125" style="47" customWidth="1"/>
    <col min="11267" max="11267" width="10.33203125" style="47" customWidth="1"/>
    <col min="11268" max="11268" width="21" style="47" customWidth="1"/>
    <col min="11269" max="11269" width="12.33203125" style="47" customWidth="1"/>
    <col min="11270" max="11270" width="10" style="47" customWidth="1"/>
    <col min="11271" max="11271" width="24.83203125" style="47" customWidth="1"/>
    <col min="11272" max="11272" width="11" style="47" customWidth="1"/>
    <col min="11273" max="11273" width="11.6640625" style="47" customWidth="1"/>
    <col min="11274" max="11274" width="19.5" style="47" customWidth="1"/>
    <col min="11275" max="11275" width="25.83203125" style="47" customWidth="1"/>
    <col min="11276" max="11506" width="8.83203125" style="47"/>
    <col min="11507" max="11507" width="6.6640625" style="47" customWidth="1"/>
    <col min="11508" max="11508" width="17.1640625" style="47" customWidth="1"/>
    <col min="11509" max="11509" width="14.33203125" style="47" customWidth="1"/>
    <col min="11510" max="11510" width="10.33203125" style="47" customWidth="1"/>
    <col min="11511" max="11511" width="21" style="47" customWidth="1"/>
    <col min="11512" max="11512" width="12.33203125" style="47" customWidth="1"/>
    <col min="11513" max="11513" width="10" style="47" customWidth="1"/>
    <col min="11514" max="11514" width="24.83203125" style="47" customWidth="1"/>
    <col min="11515" max="11515" width="11" style="47" customWidth="1"/>
    <col min="11516" max="11516" width="11.6640625" style="47" customWidth="1"/>
    <col min="11517" max="11517" width="19.5" style="47" customWidth="1"/>
    <col min="11518" max="11518" width="25.83203125" style="47" customWidth="1"/>
    <col min="11519" max="11519" width="8.83203125" style="47"/>
    <col min="11520" max="11520" width="6.6640625" style="47" customWidth="1"/>
    <col min="11521" max="11521" width="17.1640625" style="47" customWidth="1"/>
    <col min="11522" max="11522" width="14.33203125" style="47" customWidth="1"/>
    <col min="11523" max="11523" width="10.33203125" style="47" customWidth="1"/>
    <col min="11524" max="11524" width="21" style="47" customWidth="1"/>
    <col min="11525" max="11525" width="12.33203125" style="47" customWidth="1"/>
    <col min="11526" max="11526" width="10" style="47" customWidth="1"/>
    <col min="11527" max="11527" width="24.83203125" style="47" customWidth="1"/>
    <col min="11528" max="11528" width="11" style="47" customWidth="1"/>
    <col min="11529" max="11529" width="11.6640625" style="47" customWidth="1"/>
    <col min="11530" max="11530" width="19.5" style="47" customWidth="1"/>
    <col min="11531" max="11531" width="25.83203125" style="47" customWidth="1"/>
    <col min="11532" max="11762" width="8.83203125" style="47"/>
    <col min="11763" max="11763" width="6.6640625" style="47" customWidth="1"/>
    <col min="11764" max="11764" width="17.1640625" style="47" customWidth="1"/>
    <col min="11765" max="11765" width="14.33203125" style="47" customWidth="1"/>
    <col min="11766" max="11766" width="10.33203125" style="47" customWidth="1"/>
    <col min="11767" max="11767" width="21" style="47" customWidth="1"/>
    <col min="11768" max="11768" width="12.33203125" style="47" customWidth="1"/>
    <col min="11769" max="11769" width="10" style="47" customWidth="1"/>
    <col min="11770" max="11770" width="24.83203125" style="47" customWidth="1"/>
    <col min="11771" max="11771" width="11" style="47" customWidth="1"/>
    <col min="11772" max="11772" width="11.6640625" style="47" customWidth="1"/>
    <col min="11773" max="11773" width="19.5" style="47" customWidth="1"/>
    <col min="11774" max="11774" width="25.83203125" style="47" customWidth="1"/>
    <col min="11775" max="11775" width="8.83203125" style="47"/>
    <col min="11776" max="11776" width="6.6640625" style="47" customWidth="1"/>
    <col min="11777" max="11777" width="17.1640625" style="47" customWidth="1"/>
    <col min="11778" max="11778" width="14.33203125" style="47" customWidth="1"/>
    <col min="11779" max="11779" width="10.33203125" style="47" customWidth="1"/>
    <col min="11780" max="11780" width="21" style="47" customWidth="1"/>
    <col min="11781" max="11781" width="12.33203125" style="47" customWidth="1"/>
    <col min="11782" max="11782" width="10" style="47" customWidth="1"/>
    <col min="11783" max="11783" width="24.83203125" style="47" customWidth="1"/>
    <col min="11784" max="11784" width="11" style="47" customWidth="1"/>
    <col min="11785" max="11785" width="11.6640625" style="47" customWidth="1"/>
    <col min="11786" max="11786" width="19.5" style="47" customWidth="1"/>
    <col min="11787" max="11787" width="25.83203125" style="47" customWidth="1"/>
    <col min="11788" max="12018" width="8.83203125" style="47"/>
    <col min="12019" max="12019" width="6.6640625" style="47" customWidth="1"/>
    <col min="12020" max="12020" width="17.1640625" style="47" customWidth="1"/>
    <col min="12021" max="12021" width="14.33203125" style="47" customWidth="1"/>
    <col min="12022" max="12022" width="10.33203125" style="47" customWidth="1"/>
    <col min="12023" max="12023" width="21" style="47" customWidth="1"/>
    <col min="12024" max="12024" width="12.33203125" style="47" customWidth="1"/>
    <col min="12025" max="12025" width="10" style="47" customWidth="1"/>
    <col min="12026" max="12026" width="24.83203125" style="47" customWidth="1"/>
    <col min="12027" max="12027" width="11" style="47" customWidth="1"/>
    <col min="12028" max="12028" width="11.6640625" style="47" customWidth="1"/>
    <col min="12029" max="12029" width="19.5" style="47" customWidth="1"/>
    <col min="12030" max="12030" width="25.83203125" style="47" customWidth="1"/>
    <col min="12031" max="12031" width="8.83203125" style="47"/>
    <col min="12032" max="12032" width="6.6640625" style="47" customWidth="1"/>
    <col min="12033" max="12033" width="17.1640625" style="47" customWidth="1"/>
    <col min="12034" max="12034" width="14.33203125" style="47" customWidth="1"/>
    <col min="12035" max="12035" width="10.33203125" style="47" customWidth="1"/>
    <col min="12036" max="12036" width="21" style="47" customWidth="1"/>
    <col min="12037" max="12037" width="12.33203125" style="47" customWidth="1"/>
    <col min="12038" max="12038" width="10" style="47" customWidth="1"/>
    <col min="12039" max="12039" width="24.83203125" style="47" customWidth="1"/>
    <col min="12040" max="12040" width="11" style="47" customWidth="1"/>
    <col min="12041" max="12041" width="11.6640625" style="47" customWidth="1"/>
    <col min="12042" max="12042" width="19.5" style="47" customWidth="1"/>
    <col min="12043" max="12043" width="25.83203125" style="47" customWidth="1"/>
    <col min="12044" max="12274" width="8.83203125" style="47"/>
    <col min="12275" max="12275" width="6.6640625" style="47" customWidth="1"/>
    <col min="12276" max="12276" width="17.1640625" style="47" customWidth="1"/>
    <col min="12277" max="12277" width="14.33203125" style="47" customWidth="1"/>
    <col min="12278" max="12278" width="10.33203125" style="47" customWidth="1"/>
    <col min="12279" max="12279" width="21" style="47" customWidth="1"/>
    <col min="12280" max="12280" width="12.33203125" style="47" customWidth="1"/>
    <col min="12281" max="12281" width="10" style="47" customWidth="1"/>
    <col min="12282" max="12282" width="24.83203125" style="47" customWidth="1"/>
    <col min="12283" max="12283" width="11" style="47" customWidth="1"/>
    <col min="12284" max="12284" width="11.6640625" style="47" customWidth="1"/>
    <col min="12285" max="12285" width="19.5" style="47" customWidth="1"/>
    <col min="12286" max="12286" width="25.83203125" style="47" customWidth="1"/>
    <col min="12287" max="12287" width="8.83203125" style="47"/>
    <col min="12288" max="12288" width="6.6640625" style="47" customWidth="1"/>
    <col min="12289" max="12289" width="17.1640625" style="47" customWidth="1"/>
    <col min="12290" max="12290" width="14.33203125" style="47" customWidth="1"/>
    <col min="12291" max="12291" width="10.33203125" style="47" customWidth="1"/>
    <col min="12292" max="12292" width="21" style="47" customWidth="1"/>
    <col min="12293" max="12293" width="12.33203125" style="47" customWidth="1"/>
    <col min="12294" max="12294" width="10" style="47" customWidth="1"/>
    <col min="12295" max="12295" width="24.83203125" style="47" customWidth="1"/>
    <col min="12296" max="12296" width="11" style="47" customWidth="1"/>
    <col min="12297" max="12297" width="11.6640625" style="47" customWidth="1"/>
    <col min="12298" max="12298" width="19.5" style="47" customWidth="1"/>
    <col min="12299" max="12299" width="25.83203125" style="47" customWidth="1"/>
    <col min="12300" max="12530" width="8.83203125" style="47"/>
    <col min="12531" max="12531" width="6.6640625" style="47" customWidth="1"/>
    <col min="12532" max="12532" width="17.1640625" style="47" customWidth="1"/>
    <col min="12533" max="12533" width="14.33203125" style="47" customWidth="1"/>
    <col min="12534" max="12534" width="10.33203125" style="47" customWidth="1"/>
    <col min="12535" max="12535" width="21" style="47" customWidth="1"/>
    <col min="12536" max="12536" width="12.33203125" style="47" customWidth="1"/>
    <col min="12537" max="12537" width="10" style="47" customWidth="1"/>
    <col min="12538" max="12538" width="24.83203125" style="47" customWidth="1"/>
    <col min="12539" max="12539" width="11" style="47" customWidth="1"/>
    <col min="12540" max="12540" width="11.6640625" style="47" customWidth="1"/>
    <col min="12541" max="12541" width="19.5" style="47" customWidth="1"/>
    <col min="12542" max="12542" width="25.83203125" style="47" customWidth="1"/>
    <col min="12543" max="12543" width="8.83203125" style="47"/>
    <col min="12544" max="12544" width="6.6640625" style="47" customWidth="1"/>
    <col min="12545" max="12545" width="17.1640625" style="47" customWidth="1"/>
    <col min="12546" max="12546" width="14.33203125" style="47" customWidth="1"/>
    <col min="12547" max="12547" width="10.33203125" style="47" customWidth="1"/>
    <col min="12548" max="12548" width="21" style="47" customWidth="1"/>
    <col min="12549" max="12549" width="12.33203125" style="47" customWidth="1"/>
    <col min="12550" max="12550" width="10" style="47" customWidth="1"/>
    <col min="12551" max="12551" width="24.83203125" style="47" customWidth="1"/>
    <col min="12552" max="12552" width="11" style="47" customWidth="1"/>
    <col min="12553" max="12553" width="11.6640625" style="47" customWidth="1"/>
    <col min="12554" max="12554" width="19.5" style="47" customWidth="1"/>
    <col min="12555" max="12555" width="25.83203125" style="47" customWidth="1"/>
    <col min="12556" max="12786" width="8.83203125" style="47"/>
    <col min="12787" max="12787" width="6.6640625" style="47" customWidth="1"/>
    <col min="12788" max="12788" width="17.1640625" style="47" customWidth="1"/>
    <col min="12789" max="12789" width="14.33203125" style="47" customWidth="1"/>
    <col min="12790" max="12790" width="10.33203125" style="47" customWidth="1"/>
    <col min="12791" max="12791" width="21" style="47" customWidth="1"/>
    <col min="12792" max="12792" width="12.33203125" style="47" customWidth="1"/>
    <col min="12793" max="12793" width="10" style="47" customWidth="1"/>
    <col min="12794" max="12794" width="24.83203125" style="47" customWidth="1"/>
    <col min="12795" max="12795" width="11" style="47" customWidth="1"/>
    <col min="12796" max="12796" width="11.6640625" style="47" customWidth="1"/>
    <col min="12797" max="12797" width="19.5" style="47" customWidth="1"/>
    <col min="12798" max="12798" width="25.83203125" style="47" customWidth="1"/>
    <col min="12799" max="12799" width="8.83203125" style="47"/>
    <col min="12800" max="12800" width="6.6640625" style="47" customWidth="1"/>
    <col min="12801" max="12801" width="17.1640625" style="47" customWidth="1"/>
    <col min="12802" max="12802" width="14.33203125" style="47" customWidth="1"/>
    <col min="12803" max="12803" width="10.33203125" style="47" customWidth="1"/>
    <col min="12804" max="12804" width="21" style="47" customWidth="1"/>
    <col min="12805" max="12805" width="12.33203125" style="47" customWidth="1"/>
    <col min="12806" max="12806" width="10" style="47" customWidth="1"/>
    <col min="12807" max="12807" width="24.83203125" style="47" customWidth="1"/>
    <col min="12808" max="12808" width="11" style="47" customWidth="1"/>
    <col min="12809" max="12809" width="11.6640625" style="47" customWidth="1"/>
    <col min="12810" max="12810" width="19.5" style="47" customWidth="1"/>
    <col min="12811" max="12811" width="25.83203125" style="47" customWidth="1"/>
    <col min="12812" max="13042" width="8.83203125" style="47"/>
    <col min="13043" max="13043" width="6.6640625" style="47" customWidth="1"/>
    <col min="13044" max="13044" width="17.1640625" style="47" customWidth="1"/>
    <col min="13045" max="13045" width="14.33203125" style="47" customWidth="1"/>
    <col min="13046" max="13046" width="10.33203125" style="47" customWidth="1"/>
    <col min="13047" max="13047" width="21" style="47" customWidth="1"/>
    <col min="13048" max="13048" width="12.33203125" style="47" customWidth="1"/>
    <col min="13049" max="13049" width="10" style="47" customWidth="1"/>
    <col min="13050" max="13050" width="24.83203125" style="47" customWidth="1"/>
    <col min="13051" max="13051" width="11" style="47" customWidth="1"/>
    <col min="13052" max="13052" width="11.6640625" style="47" customWidth="1"/>
    <col min="13053" max="13053" width="19.5" style="47" customWidth="1"/>
    <col min="13054" max="13054" width="25.83203125" style="47" customWidth="1"/>
    <col min="13055" max="13055" width="8.83203125" style="47"/>
    <col min="13056" max="13056" width="6.6640625" style="47" customWidth="1"/>
    <col min="13057" max="13057" width="17.1640625" style="47" customWidth="1"/>
    <col min="13058" max="13058" width="14.33203125" style="47" customWidth="1"/>
    <col min="13059" max="13059" width="10.33203125" style="47" customWidth="1"/>
    <col min="13060" max="13060" width="21" style="47" customWidth="1"/>
    <col min="13061" max="13061" width="12.33203125" style="47" customWidth="1"/>
    <col min="13062" max="13062" width="10" style="47" customWidth="1"/>
    <col min="13063" max="13063" width="24.83203125" style="47" customWidth="1"/>
    <col min="13064" max="13064" width="11" style="47" customWidth="1"/>
    <col min="13065" max="13065" width="11.6640625" style="47" customWidth="1"/>
    <col min="13066" max="13066" width="19.5" style="47" customWidth="1"/>
    <col min="13067" max="13067" width="25.83203125" style="47" customWidth="1"/>
    <col min="13068" max="13298" width="8.83203125" style="47"/>
    <col min="13299" max="13299" width="6.6640625" style="47" customWidth="1"/>
    <col min="13300" max="13300" width="17.1640625" style="47" customWidth="1"/>
    <col min="13301" max="13301" width="14.33203125" style="47" customWidth="1"/>
    <col min="13302" max="13302" width="10.33203125" style="47" customWidth="1"/>
    <col min="13303" max="13303" width="21" style="47" customWidth="1"/>
    <col min="13304" max="13304" width="12.33203125" style="47" customWidth="1"/>
    <col min="13305" max="13305" width="10" style="47" customWidth="1"/>
    <col min="13306" max="13306" width="24.83203125" style="47" customWidth="1"/>
    <col min="13307" max="13307" width="11" style="47" customWidth="1"/>
    <col min="13308" max="13308" width="11.6640625" style="47" customWidth="1"/>
    <col min="13309" max="13309" width="19.5" style="47" customWidth="1"/>
    <col min="13310" max="13310" width="25.83203125" style="47" customWidth="1"/>
    <col min="13311" max="13311" width="8.83203125" style="47"/>
    <col min="13312" max="13312" width="6.6640625" style="47" customWidth="1"/>
    <col min="13313" max="13313" width="17.1640625" style="47" customWidth="1"/>
    <col min="13314" max="13314" width="14.33203125" style="47" customWidth="1"/>
    <col min="13315" max="13315" width="10.33203125" style="47" customWidth="1"/>
    <col min="13316" max="13316" width="21" style="47" customWidth="1"/>
    <col min="13317" max="13317" width="12.33203125" style="47" customWidth="1"/>
    <col min="13318" max="13318" width="10" style="47" customWidth="1"/>
    <col min="13319" max="13319" width="24.83203125" style="47" customWidth="1"/>
    <col min="13320" max="13320" width="11" style="47" customWidth="1"/>
    <col min="13321" max="13321" width="11.6640625" style="47" customWidth="1"/>
    <col min="13322" max="13322" width="19.5" style="47" customWidth="1"/>
    <col min="13323" max="13323" width="25.83203125" style="47" customWidth="1"/>
    <col min="13324" max="13554" width="8.83203125" style="47"/>
    <col min="13555" max="13555" width="6.6640625" style="47" customWidth="1"/>
    <col min="13556" max="13556" width="17.1640625" style="47" customWidth="1"/>
    <col min="13557" max="13557" width="14.33203125" style="47" customWidth="1"/>
    <col min="13558" max="13558" width="10.33203125" style="47" customWidth="1"/>
    <col min="13559" max="13559" width="21" style="47" customWidth="1"/>
    <col min="13560" max="13560" width="12.33203125" style="47" customWidth="1"/>
    <col min="13561" max="13561" width="10" style="47" customWidth="1"/>
    <col min="13562" max="13562" width="24.83203125" style="47" customWidth="1"/>
    <col min="13563" max="13563" width="11" style="47" customWidth="1"/>
    <col min="13564" max="13564" width="11.6640625" style="47" customWidth="1"/>
    <col min="13565" max="13565" width="19.5" style="47" customWidth="1"/>
    <col min="13566" max="13566" width="25.83203125" style="47" customWidth="1"/>
    <col min="13567" max="13567" width="8.83203125" style="47"/>
    <col min="13568" max="13568" width="6.6640625" style="47" customWidth="1"/>
    <col min="13569" max="13569" width="17.1640625" style="47" customWidth="1"/>
    <col min="13570" max="13570" width="14.33203125" style="47" customWidth="1"/>
    <col min="13571" max="13571" width="10.33203125" style="47" customWidth="1"/>
    <col min="13572" max="13572" width="21" style="47" customWidth="1"/>
    <col min="13573" max="13573" width="12.33203125" style="47" customWidth="1"/>
    <col min="13574" max="13574" width="10" style="47" customWidth="1"/>
    <col min="13575" max="13575" width="24.83203125" style="47" customWidth="1"/>
    <col min="13576" max="13576" width="11" style="47" customWidth="1"/>
    <col min="13577" max="13577" width="11.6640625" style="47" customWidth="1"/>
    <col min="13578" max="13578" width="19.5" style="47" customWidth="1"/>
    <col min="13579" max="13579" width="25.83203125" style="47" customWidth="1"/>
    <col min="13580" max="13810" width="8.83203125" style="47"/>
    <col min="13811" max="13811" width="6.6640625" style="47" customWidth="1"/>
    <col min="13812" max="13812" width="17.1640625" style="47" customWidth="1"/>
    <col min="13813" max="13813" width="14.33203125" style="47" customWidth="1"/>
    <col min="13814" max="13814" width="10.33203125" style="47" customWidth="1"/>
    <col min="13815" max="13815" width="21" style="47" customWidth="1"/>
    <col min="13816" max="13816" width="12.33203125" style="47" customWidth="1"/>
    <col min="13817" max="13817" width="10" style="47" customWidth="1"/>
    <col min="13818" max="13818" width="24.83203125" style="47" customWidth="1"/>
    <col min="13819" max="13819" width="11" style="47" customWidth="1"/>
    <col min="13820" max="13820" width="11.6640625" style="47" customWidth="1"/>
    <col min="13821" max="13821" width="19.5" style="47" customWidth="1"/>
    <col min="13822" max="13822" width="25.83203125" style="47" customWidth="1"/>
    <col min="13823" max="13823" width="8.83203125" style="47"/>
    <col min="13824" max="13824" width="6.6640625" style="47" customWidth="1"/>
    <col min="13825" max="13825" width="17.1640625" style="47" customWidth="1"/>
    <col min="13826" max="13826" width="14.33203125" style="47" customWidth="1"/>
    <col min="13827" max="13827" width="10.33203125" style="47" customWidth="1"/>
    <col min="13828" max="13828" width="21" style="47" customWidth="1"/>
    <col min="13829" max="13829" width="12.33203125" style="47" customWidth="1"/>
    <col min="13830" max="13830" width="10" style="47" customWidth="1"/>
    <col min="13831" max="13831" width="24.83203125" style="47" customWidth="1"/>
    <col min="13832" max="13832" width="11" style="47" customWidth="1"/>
    <col min="13833" max="13833" width="11.6640625" style="47" customWidth="1"/>
    <col min="13834" max="13834" width="19.5" style="47" customWidth="1"/>
    <col min="13835" max="13835" width="25.83203125" style="47" customWidth="1"/>
    <col min="13836" max="14066" width="8.83203125" style="47"/>
    <col min="14067" max="14067" width="6.6640625" style="47" customWidth="1"/>
    <col min="14068" max="14068" width="17.1640625" style="47" customWidth="1"/>
    <col min="14069" max="14069" width="14.33203125" style="47" customWidth="1"/>
    <col min="14070" max="14070" width="10.33203125" style="47" customWidth="1"/>
    <col min="14071" max="14071" width="21" style="47" customWidth="1"/>
    <col min="14072" max="14072" width="12.33203125" style="47" customWidth="1"/>
    <col min="14073" max="14073" width="10" style="47" customWidth="1"/>
    <col min="14074" max="14074" width="24.83203125" style="47" customWidth="1"/>
    <col min="14075" max="14075" width="11" style="47" customWidth="1"/>
    <col min="14076" max="14076" width="11.6640625" style="47" customWidth="1"/>
    <col min="14077" max="14077" width="19.5" style="47" customWidth="1"/>
    <col min="14078" max="14078" width="25.83203125" style="47" customWidth="1"/>
    <col min="14079" max="14079" width="8.83203125" style="47"/>
    <col min="14080" max="14080" width="6.6640625" style="47" customWidth="1"/>
    <col min="14081" max="14081" width="17.1640625" style="47" customWidth="1"/>
    <col min="14082" max="14082" width="14.33203125" style="47" customWidth="1"/>
    <col min="14083" max="14083" width="10.33203125" style="47" customWidth="1"/>
    <col min="14084" max="14084" width="21" style="47" customWidth="1"/>
    <col min="14085" max="14085" width="12.33203125" style="47" customWidth="1"/>
    <col min="14086" max="14086" width="10" style="47" customWidth="1"/>
    <col min="14087" max="14087" width="24.83203125" style="47" customWidth="1"/>
    <col min="14088" max="14088" width="11" style="47" customWidth="1"/>
    <col min="14089" max="14089" width="11.6640625" style="47" customWidth="1"/>
    <col min="14090" max="14090" width="19.5" style="47" customWidth="1"/>
    <col min="14091" max="14091" width="25.83203125" style="47" customWidth="1"/>
    <col min="14092" max="14322" width="8.83203125" style="47"/>
    <col min="14323" max="14323" width="6.6640625" style="47" customWidth="1"/>
    <col min="14324" max="14324" width="17.1640625" style="47" customWidth="1"/>
    <col min="14325" max="14325" width="14.33203125" style="47" customWidth="1"/>
    <col min="14326" max="14326" width="10.33203125" style="47" customWidth="1"/>
    <col min="14327" max="14327" width="21" style="47" customWidth="1"/>
    <col min="14328" max="14328" width="12.33203125" style="47" customWidth="1"/>
    <col min="14329" max="14329" width="10" style="47" customWidth="1"/>
    <col min="14330" max="14330" width="24.83203125" style="47" customWidth="1"/>
    <col min="14331" max="14331" width="11" style="47" customWidth="1"/>
    <col min="14332" max="14332" width="11.6640625" style="47" customWidth="1"/>
    <col min="14333" max="14333" width="19.5" style="47" customWidth="1"/>
    <col min="14334" max="14334" width="25.83203125" style="47" customWidth="1"/>
    <col min="14335" max="14335" width="8.83203125" style="47"/>
    <col min="14336" max="14336" width="6.6640625" style="47" customWidth="1"/>
    <col min="14337" max="14337" width="17.1640625" style="47" customWidth="1"/>
    <col min="14338" max="14338" width="14.33203125" style="47" customWidth="1"/>
    <col min="14339" max="14339" width="10.33203125" style="47" customWidth="1"/>
    <col min="14340" max="14340" width="21" style="47" customWidth="1"/>
    <col min="14341" max="14341" width="12.33203125" style="47" customWidth="1"/>
    <col min="14342" max="14342" width="10" style="47" customWidth="1"/>
    <col min="14343" max="14343" width="24.83203125" style="47" customWidth="1"/>
    <col min="14344" max="14344" width="11" style="47" customWidth="1"/>
    <col min="14345" max="14345" width="11.6640625" style="47" customWidth="1"/>
    <col min="14346" max="14346" width="19.5" style="47" customWidth="1"/>
    <col min="14347" max="14347" width="25.83203125" style="47" customWidth="1"/>
    <col min="14348" max="14578" width="8.83203125" style="47"/>
    <col min="14579" max="14579" width="6.6640625" style="47" customWidth="1"/>
    <col min="14580" max="14580" width="17.1640625" style="47" customWidth="1"/>
    <col min="14581" max="14581" width="14.33203125" style="47" customWidth="1"/>
    <col min="14582" max="14582" width="10.33203125" style="47" customWidth="1"/>
    <col min="14583" max="14583" width="21" style="47" customWidth="1"/>
    <col min="14584" max="14584" width="12.33203125" style="47" customWidth="1"/>
    <col min="14585" max="14585" width="10" style="47" customWidth="1"/>
    <col min="14586" max="14586" width="24.83203125" style="47" customWidth="1"/>
    <col min="14587" max="14587" width="11" style="47" customWidth="1"/>
    <col min="14588" max="14588" width="11.6640625" style="47" customWidth="1"/>
    <col min="14589" max="14589" width="19.5" style="47" customWidth="1"/>
    <col min="14590" max="14590" width="25.83203125" style="47" customWidth="1"/>
    <col min="14591" max="14591" width="8.83203125" style="47"/>
    <col min="14592" max="14592" width="6.6640625" style="47" customWidth="1"/>
    <col min="14593" max="14593" width="17.1640625" style="47" customWidth="1"/>
    <col min="14594" max="14594" width="14.33203125" style="47" customWidth="1"/>
    <col min="14595" max="14595" width="10.33203125" style="47" customWidth="1"/>
    <col min="14596" max="14596" width="21" style="47" customWidth="1"/>
    <col min="14597" max="14597" width="12.33203125" style="47" customWidth="1"/>
    <col min="14598" max="14598" width="10" style="47" customWidth="1"/>
    <col min="14599" max="14599" width="24.83203125" style="47" customWidth="1"/>
    <col min="14600" max="14600" width="11" style="47" customWidth="1"/>
    <col min="14601" max="14601" width="11.6640625" style="47" customWidth="1"/>
    <col min="14602" max="14602" width="19.5" style="47" customWidth="1"/>
    <col min="14603" max="14603" width="25.83203125" style="47" customWidth="1"/>
    <col min="14604" max="14834" width="8.83203125" style="47"/>
    <col min="14835" max="14835" width="6.6640625" style="47" customWidth="1"/>
    <col min="14836" max="14836" width="17.1640625" style="47" customWidth="1"/>
    <col min="14837" max="14837" width="14.33203125" style="47" customWidth="1"/>
    <col min="14838" max="14838" width="10.33203125" style="47" customWidth="1"/>
    <col min="14839" max="14839" width="21" style="47" customWidth="1"/>
    <col min="14840" max="14840" width="12.33203125" style="47" customWidth="1"/>
    <col min="14841" max="14841" width="10" style="47" customWidth="1"/>
    <col min="14842" max="14842" width="24.83203125" style="47" customWidth="1"/>
    <col min="14843" max="14843" width="11" style="47" customWidth="1"/>
    <col min="14844" max="14844" width="11.6640625" style="47" customWidth="1"/>
    <col min="14845" max="14845" width="19.5" style="47" customWidth="1"/>
    <col min="14846" max="14846" width="25.83203125" style="47" customWidth="1"/>
    <col min="14847" max="14847" width="8.83203125" style="47"/>
    <col min="14848" max="14848" width="6.6640625" style="47" customWidth="1"/>
    <col min="14849" max="14849" width="17.1640625" style="47" customWidth="1"/>
    <col min="14850" max="14850" width="14.33203125" style="47" customWidth="1"/>
    <col min="14851" max="14851" width="10.33203125" style="47" customWidth="1"/>
    <col min="14852" max="14852" width="21" style="47" customWidth="1"/>
    <col min="14853" max="14853" width="12.33203125" style="47" customWidth="1"/>
    <col min="14854" max="14854" width="10" style="47" customWidth="1"/>
    <col min="14855" max="14855" width="24.83203125" style="47" customWidth="1"/>
    <col min="14856" max="14856" width="11" style="47" customWidth="1"/>
    <col min="14857" max="14857" width="11.6640625" style="47" customWidth="1"/>
    <col min="14858" max="14858" width="19.5" style="47" customWidth="1"/>
    <col min="14859" max="14859" width="25.83203125" style="47" customWidth="1"/>
    <col min="14860" max="15090" width="8.83203125" style="47"/>
    <col min="15091" max="15091" width="6.6640625" style="47" customWidth="1"/>
    <col min="15092" max="15092" width="17.1640625" style="47" customWidth="1"/>
    <col min="15093" max="15093" width="14.33203125" style="47" customWidth="1"/>
    <col min="15094" max="15094" width="10.33203125" style="47" customWidth="1"/>
    <col min="15095" max="15095" width="21" style="47" customWidth="1"/>
    <col min="15096" max="15096" width="12.33203125" style="47" customWidth="1"/>
    <col min="15097" max="15097" width="10" style="47" customWidth="1"/>
    <col min="15098" max="15098" width="24.83203125" style="47" customWidth="1"/>
    <col min="15099" max="15099" width="11" style="47" customWidth="1"/>
    <col min="15100" max="15100" width="11.6640625" style="47" customWidth="1"/>
    <col min="15101" max="15101" width="19.5" style="47" customWidth="1"/>
    <col min="15102" max="15102" width="25.83203125" style="47" customWidth="1"/>
    <col min="15103" max="15103" width="8.83203125" style="47"/>
    <col min="15104" max="15104" width="6.6640625" style="47" customWidth="1"/>
    <col min="15105" max="15105" width="17.1640625" style="47" customWidth="1"/>
    <col min="15106" max="15106" width="14.33203125" style="47" customWidth="1"/>
    <col min="15107" max="15107" width="10.33203125" style="47" customWidth="1"/>
    <col min="15108" max="15108" width="21" style="47" customWidth="1"/>
    <col min="15109" max="15109" width="12.33203125" style="47" customWidth="1"/>
    <col min="15110" max="15110" width="10" style="47" customWidth="1"/>
    <col min="15111" max="15111" width="24.83203125" style="47" customWidth="1"/>
    <col min="15112" max="15112" width="11" style="47" customWidth="1"/>
    <col min="15113" max="15113" width="11.6640625" style="47" customWidth="1"/>
    <col min="15114" max="15114" width="19.5" style="47" customWidth="1"/>
    <col min="15115" max="15115" width="25.83203125" style="47" customWidth="1"/>
    <col min="15116" max="15346" width="8.83203125" style="47"/>
    <col min="15347" max="15347" width="6.6640625" style="47" customWidth="1"/>
    <col min="15348" max="15348" width="17.1640625" style="47" customWidth="1"/>
    <col min="15349" max="15349" width="14.33203125" style="47" customWidth="1"/>
    <col min="15350" max="15350" width="10.33203125" style="47" customWidth="1"/>
    <col min="15351" max="15351" width="21" style="47" customWidth="1"/>
    <col min="15352" max="15352" width="12.33203125" style="47" customWidth="1"/>
    <col min="15353" max="15353" width="10" style="47" customWidth="1"/>
    <col min="15354" max="15354" width="24.83203125" style="47" customWidth="1"/>
    <col min="15355" max="15355" width="11" style="47" customWidth="1"/>
    <col min="15356" max="15356" width="11.6640625" style="47" customWidth="1"/>
    <col min="15357" max="15357" width="19.5" style="47" customWidth="1"/>
    <col min="15358" max="15358" width="25.83203125" style="47" customWidth="1"/>
    <col min="15359" max="15359" width="8.83203125" style="47"/>
    <col min="15360" max="15360" width="6.6640625" style="47" customWidth="1"/>
    <col min="15361" max="15361" width="17.1640625" style="47" customWidth="1"/>
    <col min="15362" max="15362" width="14.33203125" style="47" customWidth="1"/>
    <col min="15363" max="15363" width="10.33203125" style="47" customWidth="1"/>
    <col min="15364" max="15364" width="21" style="47" customWidth="1"/>
    <col min="15365" max="15365" width="12.33203125" style="47" customWidth="1"/>
    <col min="15366" max="15366" width="10" style="47" customWidth="1"/>
    <col min="15367" max="15367" width="24.83203125" style="47" customWidth="1"/>
    <col min="15368" max="15368" width="11" style="47" customWidth="1"/>
    <col min="15369" max="15369" width="11.6640625" style="47" customWidth="1"/>
    <col min="15370" max="15370" width="19.5" style="47" customWidth="1"/>
    <col min="15371" max="15371" width="25.83203125" style="47" customWidth="1"/>
    <col min="15372" max="15602" width="8.83203125" style="47"/>
    <col min="15603" max="15603" width="6.6640625" style="47" customWidth="1"/>
    <col min="15604" max="15604" width="17.1640625" style="47" customWidth="1"/>
    <col min="15605" max="15605" width="14.33203125" style="47" customWidth="1"/>
    <col min="15606" max="15606" width="10.33203125" style="47" customWidth="1"/>
    <col min="15607" max="15607" width="21" style="47" customWidth="1"/>
    <col min="15608" max="15608" width="12.33203125" style="47" customWidth="1"/>
    <col min="15609" max="15609" width="10" style="47" customWidth="1"/>
    <col min="15610" max="15610" width="24.83203125" style="47" customWidth="1"/>
    <col min="15611" max="15611" width="11" style="47" customWidth="1"/>
    <col min="15612" max="15612" width="11.6640625" style="47" customWidth="1"/>
    <col min="15613" max="15613" width="19.5" style="47" customWidth="1"/>
    <col min="15614" max="15614" width="25.83203125" style="47" customWidth="1"/>
    <col min="15615" max="15615" width="8.83203125" style="47"/>
    <col min="15616" max="15616" width="6.6640625" style="47" customWidth="1"/>
    <col min="15617" max="15617" width="17.1640625" style="47" customWidth="1"/>
    <col min="15618" max="15618" width="14.33203125" style="47" customWidth="1"/>
    <col min="15619" max="15619" width="10.33203125" style="47" customWidth="1"/>
    <col min="15620" max="15620" width="21" style="47" customWidth="1"/>
    <col min="15621" max="15621" width="12.33203125" style="47" customWidth="1"/>
    <col min="15622" max="15622" width="10" style="47" customWidth="1"/>
    <col min="15623" max="15623" width="24.83203125" style="47" customWidth="1"/>
    <col min="15624" max="15624" width="11" style="47" customWidth="1"/>
    <col min="15625" max="15625" width="11.6640625" style="47" customWidth="1"/>
    <col min="15626" max="15626" width="19.5" style="47" customWidth="1"/>
    <col min="15627" max="15627" width="25.83203125" style="47" customWidth="1"/>
    <col min="15628" max="15858" width="8.83203125" style="47"/>
    <col min="15859" max="15859" width="6.6640625" style="47" customWidth="1"/>
    <col min="15860" max="15860" width="17.1640625" style="47" customWidth="1"/>
    <col min="15861" max="15861" width="14.33203125" style="47" customWidth="1"/>
    <col min="15862" max="15862" width="10.33203125" style="47" customWidth="1"/>
    <col min="15863" max="15863" width="21" style="47" customWidth="1"/>
    <col min="15864" max="15864" width="12.33203125" style="47" customWidth="1"/>
    <col min="15865" max="15865" width="10" style="47" customWidth="1"/>
    <col min="15866" max="15866" width="24.83203125" style="47" customWidth="1"/>
    <col min="15867" max="15867" width="11" style="47" customWidth="1"/>
    <col min="15868" max="15868" width="11.6640625" style="47" customWidth="1"/>
    <col min="15869" max="15869" width="19.5" style="47" customWidth="1"/>
    <col min="15870" max="15870" width="25.83203125" style="47" customWidth="1"/>
    <col min="15871" max="15871" width="8.83203125" style="47"/>
    <col min="15872" max="15872" width="6.6640625" style="47" customWidth="1"/>
    <col min="15873" max="15873" width="17.1640625" style="47" customWidth="1"/>
    <col min="15874" max="15874" width="14.33203125" style="47" customWidth="1"/>
    <col min="15875" max="15875" width="10.33203125" style="47" customWidth="1"/>
    <col min="15876" max="15876" width="21" style="47" customWidth="1"/>
    <col min="15877" max="15877" width="12.33203125" style="47" customWidth="1"/>
    <col min="15878" max="15878" width="10" style="47" customWidth="1"/>
    <col min="15879" max="15879" width="24.83203125" style="47" customWidth="1"/>
    <col min="15880" max="15880" width="11" style="47" customWidth="1"/>
    <col min="15881" max="15881" width="11.6640625" style="47" customWidth="1"/>
    <col min="15882" max="15882" width="19.5" style="47" customWidth="1"/>
    <col min="15883" max="15883" width="25.83203125" style="47" customWidth="1"/>
    <col min="15884" max="16114" width="8.83203125" style="47"/>
    <col min="16115" max="16115" width="6.6640625" style="47" customWidth="1"/>
    <col min="16116" max="16116" width="17.1640625" style="47" customWidth="1"/>
    <col min="16117" max="16117" width="14.33203125" style="47" customWidth="1"/>
    <col min="16118" max="16118" width="10.33203125" style="47" customWidth="1"/>
    <col min="16119" max="16119" width="21" style="47" customWidth="1"/>
    <col min="16120" max="16120" width="12.33203125" style="47" customWidth="1"/>
    <col min="16121" max="16121" width="10" style="47" customWidth="1"/>
    <col min="16122" max="16122" width="24.83203125" style="47" customWidth="1"/>
    <col min="16123" max="16123" width="11" style="47" customWidth="1"/>
    <col min="16124" max="16124" width="11.6640625" style="47" customWidth="1"/>
    <col min="16125" max="16125" width="19.5" style="47" customWidth="1"/>
    <col min="16126" max="16126" width="25.83203125" style="47" customWidth="1"/>
    <col min="16127" max="16127" width="8.83203125" style="47"/>
    <col min="16128" max="16128" width="6.6640625" style="47" customWidth="1"/>
    <col min="16129" max="16129" width="17.1640625" style="47" customWidth="1"/>
    <col min="16130" max="16130" width="14.33203125" style="47" customWidth="1"/>
    <col min="16131" max="16131" width="10.33203125" style="47" customWidth="1"/>
    <col min="16132" max="16132" width="21" style="47" customWidth="1"/>
    <col min="16133" max="16133" width="12.33203125" style="47" customWidth="1"/>
    <col min="16134" max="16134" width="10" style="47" customWidth="1"/>
    <col min="16135" max="16135" width="24.83203125" style="47" customWidth="1"/>
    <col min="16136" max="16136" width="11" style="47" customWidth="1"/>
    <col min="16137" max="16137" width="11.6640625" style="47" customWidth="1"/>
    <col min="16138" max="16138" width="19.5" style="47" customWidth="1"/>
    <col min="16139" max="16139" width="25.83203125" style="47" customWidth="1"/>
    <col min="16140" max="16370" width="8.83203125" style="47"/>
    <col min="16371" max="16371" width="6.6640625" style="47" customWidth="1"/>
    <col min="16372" max="16372" width="17.1640625" style="47" customWidth="1"/>
    <col min="16373" max="16373" width="14.33203125" style="47" customWidth="1"/>
    <col min="16374" max="16374" width="10.33203125" style="47" customWidth="1"/>
    <col min="16375" max="16375" width="21" style="47" customWidth="1"/>
    <col min="16376" max="16376" width="12.33203125" style="47" customWidth="1"/>
    <col min="16377" max="16377" width="10" style="47" customWidth="1"/>
    <col min="16378" max="16378" width="24.83203125" style="47" customWidth="1"/>
    <col min="16379" max="16379" width="11" style="47" customWidth="1"/>
    <col min="16380" max="16380" width="11.6640625" style="47" customWidth="1"/>
    <col min="16381" max="16381" width="19.5" style="47" customWidth="1"/>
    <col min="16382" max="16382" width="25.83203125" style="47" customWidth="1"/>
    <col min="16383" max="16384" width="8.83203125" style="47"/>
  </cols>
  <sheetData>
    <row r="1" spans="1:14" ht="36">
      <c r="A1" s="115" t="s">
        <v>343</v>
      </c>
      <c r="B1" s="115" t="s">
        <v>347</v>
      </c>
      <c r="C1" s="212" t="s">
        <v>234</v>
      </c>
      <c r="D1" s="116" t="s">
        <v>346</v>
      </c>
      <c r="E1" s="117" t="s">
        <v>235</v>
      </c>
      <c r="F1" s="115" t="s">
        <v>237</v>
      </c>
      <c r="G1" s="117" t="s">
        <v>231</v>
      </c>
      <c r="H1" s="116" t="s">
        <v>236</v>
      </c>
      <c r="I1" s="118" t="s">
        <v>229</v>
      </c>
      <c r="J1" s="119" t="s">
        <v>344</v>
      </c>
      <c r="K1" s="117" t="s">
        <v>66</v>
      </c>
    </row>
    <row r="2" spans="1:14" ht="24">
      <c r="A2" s="48" t="s">
        <v>345</v>
      </c>
      <c r="B2" s="197" t="s">
        <v>226</v>
      </c>
      <c r="C2" s="213">
        <v>33.33</v>
      </c>
      <c r="D2" s="82" t="s">
        <v>348</v>
      </c>
      <c r="E2" s="83">
        <v>25</v>
      </c>
      <c r="F2" s="49" t="s">
        <v>349</v>
      </c>
      <c r="G2" s="50">
        <v>50</v>
      </c>
      <c r="H2" s="51" t="s">
        <v>238</v>
      </c>
      <c r="I2" s="227">
        <v>4.17</v>
      </c>
      <c r="J2" s="70" t="s">
        <v>351</v>
      </c>
      <c r="K2" s="52" t="s">
        <v>69</v>
      </c>
    </row>
    <row r="3" spans="1:14" ht="56">
      <c r="A3" s="53"/>
      <c r="B3" s="198"/>
      <c r="C3" s="214"/>
      <c r="D3" s="88"/>
      <c r="E3" s="89"/>
      <c r="F3" s="90" t="s">
        <v>350</v>
      </c>
      <c r="G3" s="91">
        <v>50</v>
      </c>
      <c r="H3" s="54"/>
      <c r="I3" s="55">
        <v>4.17</v>
      </c>
      <c r="J3" s="71" t="s">
        <v>352</v>
      </c>
      <c r="K3" s="56" t="s">
        <v>69</v>
      </c>
      <c r="N3" s="47" t="s">
        <v>52</v>
      </c>
    </row>
    <row r="4" spans="1:14" ht="28">
      <c r="A4" s="53"/>
      <c r="B4" s="198"/>
      <c r="C4" s="214"/>
      <c r="D4" s="77" t="s">
        <v>187</v>
      </c>
      <c r="E4" s="78">
        <v>25</v>
      </c>
      <c r="F4" s="92" t="s">
        <v>353</v>
      </c>
      <c r="G4" s="93">
        <f>G2/2</f>
        <v>25</v>
      </c>
      <c r="H4" s="94"/>
      <c r="I4" s="95">
        <v>2.1</v>
      </c>
      <c r="J4" s="96" t="s">
        <v>354</v>
      </c>
      <c r="K4" s="97"/>
    </row>
    <row r="5" spans="1:14" ht="56">
      <c r="A5" s="53"/>
      <c r="B5" s="198"/>
      <c r="C5" s="214"/>
      <c r="D5" s="77"/>
      <c r="E5" s="79"/>
      <c r="F5" s="57" t="s">
        <v>183</v>
      </c>
      <c r="G5" s="58">
        <v>25</v>
      </c>
      <c r="H5" s="73"/>
      <c r="I5" s="74">
        <v>2.1</v>
      </c>
      <c r="J5" s="75" t="s">
        <v>182</v>
      </c>
      <c r="K5" s="76" t="s">
        <v>68</v>
      </c>
    </row>
    <row r="6" spans="1:14">
      <c r="A6" s="53"/>
      <c r="B6" s="198"/>
      <c r="C6" s="214"/>
      <c r="D6" s="77"/>
      <c r="E6" s="203"/>
      <c r="F6" s="102" t="s">
        <v>186</v>
      </c>
      <c r="G6" s="103">
        <v>50</v>
      </c>
      <c r="H6" s="104"/>
      <c r="I6" s="105">
        <v>4.2</v>
      </c>
      <c r="J6" s="106"/>
      <c r="K6" s="107"/>
    </row>
    <row r="7" spans="1:14" ht="28">
      <c r="A7" s="53"/>
      <c r="B7" s="198"/>
      <c r="C7" s="214"/>
      <c r="D7" s="84" t="s">
        <v>188</v>
      </c>
      <c r="E7" s="85">
        <v>25</v>
      </c>
      <c r="F7" s="206" t="s">
        <v>185</v>
      </c>
      <c r="G7" s="207">
        <v>50</v>
      </c>
      <c r="H7" s="98" t="s">
        <v>232</v>
      </c>
      <c r="I7" s="99">
        <v>4.2</v>
      </c>
      <c r="J7" s="100" t="s">
        <v>184</v>
      </c>
      <c r="K7" s="101"/>
    </row>
    <row r="8" spans="1:14" ht="28">
      <c r="A8" s="53"/>
      <c r="B8" s="198"/>
      <c r="C8" s="214"/>
      <c r="D8" s="86"/>
      <c r="E8" s="87"/>
      <c r="F8" s="208"/>
      <c r="G8" s="209">
        <v>50</v>
      </c>
      <c r="H8" s="98" t="s">
        <v>233</v>
      </c>
      <c r="I8" s="99">
        <v>4.2</v>
      </c>
      <c r="J8" s="100" t="s">
        <v>184</v>
      </c>
      <c r="K8" s="101"/>
    </row>
    <row r="9" spans="1:14" ht="28">
      <c r="A9" s="53"/>
      <c r="B9" s="198"/>
      <c r="C9" s="214"/>
      <c r="D9" s="80" t="s">
        <v>189</v>
      </c>
      <c r="E9" s="81">
        <v>25</v>
      </c>
      <c r="F9" s="204" t="s">
        <v>192</v>
      </c>
      <c r="G9" s="205">
        <v>25</v>
      </c>
      <c r="H9" s="120" t="s">
        <v>190</v>
      </c>
      <c r="I9" s="121">
        <v>2.1</v>
      </c>
      <c r="J9" s="122" t="s">
        <v>193</v>
      </c>
      <c r="K9" s="123"/>
    </row>
    <row r="10" spans="1:14" ht="28">
      <c r="A10" s="53"/>
      <c r="B10" s="198"/>
      <c r="C10" s="214"/>
      <c r="D10" s="80"/>
      <c r="E10" s="81"/>
      <c r="F10" s="124"/>
      <c r="G10" s="125">
        <v>25</v>
      </c>
      <c r="H10" s="126" t="s">
        <v>191</v>
      </c>
      <c r="I10" s="127">
        <v>2.1</v>
      </c>
      <c r="J10" s="128" t="s">
        <v>193</v>
      </c>
      <c r="K10" s="129"/>
    </row>
    <row r="11" spans="1:14" ht="42">
      <c r="A11" s="53"/>
      <c r="B11" s="198"/>
      <c r="C11" s="214"/>
      <c r="D11" s="80"/>
      <c r="E11" s="81"/>
      <c r="F11" s="130" t="s">
        <v>197</v>
      </c>
      <c r="G11" s="131">
        <v>12.5</v>
      </c>
      <c r="H11" s="132" t="s">
        <v>195</v>
      </c>
      <c r="I11" s="133">
        <v>1.05</v>
      </c>
      <c r="J11" s="134" t="s">
        <v>196</v>
      </c>
      <c r="K11" s="135"/>
    </row>
    <row r="12" spans="1:14" ht="42">
      <c r="A12" s="53"/>
      <c r="B12" s="198"/>
      <c r="C12" s="214"/>
      <c r="D12" s="80"/>
      <c r="E12" s="81"/>
      <c r="F12" s="136"/>
      <c r="G12" s="137">
        <v>12.5</v>
      </c>
      <c r="H12" s="138" t="s">
        <v>194</v>
      </c>
      <c r="I12" s="133">
        <v>1.05</v>
      </c>
      <c r="J12" s="134" t="s">
        <v>196</v>
      </c>
      <c r="K12" s="135"/>
    </row>
    <row r="13" spans="1:14">
      <c r="A13" s="53"/>
      <c r="B13" s="198"/>
      <c r="C13" s="214"/>
      <c r="D13" s="80"/>
      <c r="E13" s="81"/>
      <c r="F13" s="108" t="s">
        <v>186</v>
      </c>
      <c r="G13" s="109">
        <v>25</v>
      </c>
      <c r="H13" s="104"/>
      <c r="I13" s="110">
        <v>2.1</v>
      </c>
      <c r="J13" s="111"/>
      <c r="K13" s="112"/>
    </row>
    <row r="14" spans="1:14" ht="56">
      <c r="A14" s="53"/>
      <c r="B14" s="199" t="s">
        <v>227</v>
      </c>
      <c r="C14" s="215">
        <v>33.33</v>
      </c>
      <c r="D14" s="84" t="s">
        <v>207</v>
      </c>
      <c r="E14" s="85">
        <v>50</v>
      </c>
      <c r="F14" s="139" t="s">
        <v>210</v>
      </c>
      <c r="G14" s="140">
        <v>50</v>
      </c>
      <c r="H14" s="141" t="s">
        <v>208</v>
      </c>
      <c r="I14" s="142">
        <v>8.4</v>
      </c>
      <c r="J14" s="143" t="s">
        <v>209</v>
      </c>
      <c r="K14" s="144"/>
    </row>
    <row r="15" spans="1:14" ht="36">
      <c r="A15" s="53"/>
      <c r="B15" s="200"/>
      <c r="C15" s="216"/>
      <c r="D15" s="86"/>
      <c r="E15" s="87"/>
      <c r="F15" s="145" t="s">
        <v>212</v>
      </c>
      <c r="G15" s="146">
        <v>50</v>
      </c>
      <c r="H15" s="147" t="s">
        <v>213</v>
      </c>
      <c r="I15" s="148">
        <v>8.4</v>
      </c>
      <c r="J15" s="149" t="s">
        <v>211</v>
      </c>
      <c r="K15" s="150"/>
    </row>
    <row r="16" spans="1:14" ht="28">
      <c r="A16" s="53"/>
      <c r="B16" s="200"/>
      <c r="C16" s="216"/>
      <c r="D16" s="170" t="s">
        <v>214</v>
      </c>
      <c r="E16" s="152">
        <v>50</v>
      </c>
      <c r="F16" s="151" t="s">
        <v>216</v>
      </c>
      <c r="G16" s="152">
        <v>100</v>
      </c>
      <c r="H16" s="153"/>
      <c r="I16" s="154">
        <v>16.670000000000002</v>
      </c>
      <c r="J16" s="155" t="s">
        <v>215</v>
      </c>
      <c r="K16" s="156"/>
    </row>
    <row r="17" spans="1:11" ht="84">
      <c r="A17" s="53"/>
      <c r="B17" s="210" t="s">
        <v>228</v>
      </c>
      <c r="C17" s="219">
        <v>33.33</v>
      </c>
      <c r="D17" s="221" t="s">
        <v>217</v>
      </c>
      <c r="E17" s="222">
        <v>25</v>
      </c>
      <c r="F17" s="157" t="s">
        <v>230</v>
      </c>
      <c r="G17" s="158">
        <v>33.299999999999997</v>
      </c>
      <c r="H17" s="159" t="s">
        <v>220</v>
      </c>
      <c r="I17" s="127">
        <v>2.78</v>
      </c>
      <c r="J17" s="128" t="s">
        <v>218</v>
      </c>
      <c r="K17" s="129"/>
    </row>
    <row r="18" spans="1:11" ht="84">
      <c r="A18" s="53"/>
      <c r="B18" s="211"/>
      <c r="C18" s="220"/>
      <c r="D18" s="223"/>
      <c r="E18" s="224"/>
      <c r="F18" s="160"/>
      <c r="G18" s="161">
        <v>33.299999999999997</v>
      </c>
      <c r="H18" s="159" t="s">
        <v>219</v>
      </c>
      <c r="I18" s="127">
        <v>2.78</v>
      </c>
      <c r="J18" s="128" t="s">
        <v>218</v>
      </c>
      <c r="K18" s="129"/>
    </row>
    <row r="19" spans="1:11" ht="28">
      <c r="A19" s="53"/>
      <c r="B19" s="211"/>
      <c r="C19" s="220"/>
      <c r="D19" s="225"/>
      <c r="E19" s="226"/>
      <c r="F19" s="175" t="s">
        <v>222</v>
      </c>
      <c r="G19" s="176">
        <v>33.299999999999997</v>
      </c>
      <c r="H19" s="177" t="s">
        <v>221</v>
      </c>
      <c r="I19" s="178">
        <v>2.78</v>
      </c>
      <c r="J19" s="179" t="s">
        <v>223</v>
      </c>
      <c r="K19" s="180"/>
    </row>
    <row r="20" spans="1:11" ht="28">
      <c r="A20" s="53"/>
      <c r="B20" s="201"/>
      <c r="C20" s="217"/>
      <c r="D20" s="171" t="s">
        <v>198</v>
      </c>
      <c r="E20" s="172">
        <v>25</v>
      </c>
      <c r="F20" s="162" t="s">
        <v>200</v>
      </c>
      <c r="G20" s="163">
        <v>12.5</v>
      </c>
      <c r="H20" s="164" t="s">
        <v>201</v>
      </c>
      <c r="I20" s="165">
        <v>1.04</v>
      </c>
      <c r="J20" s="166" t="s">
        <v>199</v>
      </c>
      <c r="K20" s="167"/>
    </row>
    <row r="21" spans="1:11" ht="28">
      <c r="A21" s="53"/>
      <c r="B21" s="201"/>
      <c r="C21" s="217"/>
      <c r="D21" s="171"/>
      <c r="E21" s="172"/>
      <c r="F21" s="168"/>
      <c r="G21" s="169">
        <v>12.5</v>
      </c>
      <c r="H21" s="164" t="s">
        <v>202</v>
      </c>
      <c r="I21" s="165">
        <v>1.04</v>
      </c>
      <c r="J21" s="166" t="s">
        <v>199</v>
      </c>
      <c r="K21" s="167" t="s">
        <v>70</v>
      </c>
    </row>
    <row r="22" spans="1:11" ht="28">
      <c r="A22" s="53"/>
      <c r="B22" s="201"/>
      <c r="C22" s="217"/>
      <c r="D22" s="171"/>
      <c r="E22" s="172"/>
      <c r="F22" s="57" t="s">
        <v>205</v>
      </c>
      <c r="G22" s="58">
        <v>12.5</v>
      </c>
      <c r="H22" s="59" t="s">
        <v>203</v>
      </c>
      <c r="I22" s="60">
        <v>1.04</v>
      </c>
      <c r="J22" s="72" t="s">
        <v>204</v>
      </c>
      <c r="K22" s="61"/>
    </row>
    <row r="23" spans="1:11" ht="28">
      <c r="A23" s="53"/>
      <c r="B23" s="201"/>
      <c r="C23" s="217"/>
      <c r="D23" s="171"/>
      <c r="E23" s="172"/>
      <c r="F23" s="62"/>
      <c r="G23" s="63">
        <v>12.5</v>
      </c>
      <c r="H23" s="59" t="s">
        <v>206</v>
      </c>
      <c r="I23" s="60">
        <v>1.04</v>
      </c>
      <c r="J23" s="72" t="s">
        <v>193</v>
      </c>
      <c r="K23" s="61"/>
    </row>
    <row r="24" spans="1:11">
      <c r="A24" s="53"/>
      <c r="B24" s="201"/>
      <c r="C24" s="217"/>
      <c r="D24" s="173"/>
      <c r="E24" s="174"/>
      <c r="F24" s="108" t="s">
        <v>186</v>
      </c>
      <c r="G24" s="113">
        <v>50</v>
      </c>
      <c r="H24" s="104"/>
      <c r="I24" s="105">
        <v>4.17</v>
      </c>
      <c r="J24" s="106"/>
      <c r="K24" s="107"/>
    </row>
    <row r="25" spans="1:11" ht="14">
      <c r="A25" s="53"/>
      <c r="B25" s="201"/>
      <c r="C25" s="217"/>
      <c r="D25" s="181" t="s">
        <v>224</v>
      </c>
      <c r="E25" s="182">
        <v>25</v>
      </c>
      <c r="F25" s="183" t="s">
        <v>186</v>
      </c>
      <c r="G25" s="184">
        <v>100</v>
      </c>
      <c r="H25" s="185"/>
      <c r="I25" s="186">
        <v>8.33</v>
      </c>
      <c r="J25" s="187"/>
      <c r="K25" s="188"/>
    </row>
    <row r="26" spans="1:11" ht="14">
      <c r="A26" s="114"/>
      <c r="B26" s="202"/>
      <c r="C26" s="218"/>
      <c r="D26" s="189" t="s">
        <v>225</v>
      </c>
      <c r="E26" s="190">
        <v>25</v>
      </c>
      <c r="F26" s="191" t="s">
        <v>186</v>
      </c>
      <c r="G26" s="192">
        <v>100</v>
      </c>
      <c r="H26" s="193"/>
      <c r="I26" s="194">
        <v>8.33</v>
      </c>
      <c r="J26" s="195"/>
      <c r="K26" s="196"/>
    </row>
    <row r="27" spans="1:11">
      <c r="C27" s="69"/>
      <c r="E27" s="69"/>
      <c r="J27" s="297" t="s">
        <v>67</v>
      </c>
    </row>
  </sheetData>
  <phoneticPr fontId="23" type="noConversion"/>
  <hyperlinks>
    <hyperlink ref="J2" r:id="rId1"/>
    <hyperlink ref="J3" r:id="rId2"/>
    <hyperlink ref="J4" r:id="rId3"/>
    <hyperlink ref="J5" r:id="rId4"/>
    <hyperlink ref="J7" r:id="rId5"/>
    <hyperlink ref="J11" r:id="rId6"/>
    <hyperlink ref="J12" r:id="rId7"/>
    <hyperlink ref="J14" r:id="rId8"/>
    <hyperlink ref="J15" r:id="rId9"/>
    <hyperlink ref="J16" r:id="rId10"/>
    <hyperlink ref="J19" r:id="rId11"/>
    <hyperlink ref="J20" r:id="rId12"/>
    <hyperlink ref="J21" r:id="rId13"/>
    <hyperlink ref="J22" r:id="rId14"/>
    <hyperlink ref="J23" r:id="rId15"/>
    <hyperlink ref="J9" r:id="rId16"/>
    <hyperlink ref="J10" r:id="rId17"/>
    <hyperlink ref="J8" r:id="rId18"/>
  </hyperlinks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F19" sqref="F19"/>
    </sheetView>
  </sheetViews>
  <sheetFormatPr baseColWidth="10" defaultColWidth="8.83203125" defaultRowHeight="14" x14ac:dyDescent="0"/>
  <cols>
    <col min="2" max="2" width="22.1640625" customWidth="1"/>
    <col min="3" max="3" width="10.83203125" customWidth="1"/>
  </cols>
  <sheetData>
    <row r="1" spans="1:3">
      <c r="A1" t="s">
        <v>86</v>
      </c>
      <c r="B1" s="228"/>
      <c r="C1" s="230">
        <v>316</v>
      </c>
    </row>
    <row r="2" spans="1:3">
      <c r="B2" s="228"/>
      <c r="C2" s="230"/>
    </row>
    <row r="3" spans="1:3">
      <c r="A3" t="s">
        <v>75</v>
      </c>
      <c r="B3" s="228"/>
      <c r="C3" s="230"/>
    </row>
    <row r="4" spans="1:3">
      <c r="A4" t="s">
        <v>239</v>
      </c>
      <c r="C4" s="231">
        <f>1-C5</f>
        <v>0.50439999999999996</v>
      </c>
    </row>
    <row r="5" spans="1:3">
      <c r="A5" t="s">
        <v>240</v>
      </c>
      <c r="C5" s="231">
        <v>0.49559999999999998</v>
      </c>
    </row>
    <row r="6" spans="1:3">
      <c r="C6" s="232"/>
    </row>
    <row r="7" spans="1:3">
      <c r="A7" t="s">
        <v>76</v>
      </c>
      <c r="C7" s="232" t="s">
        <v>241</v>
      </c>
    </row>
    <row r="8" spans="1:3">
      <c r="B8" t="s">
        <v>77</v>
      </c>
      <c r="C8" s="232">
        <v>12</v>
      </c>
    </row>
    <row r="9" spans="1:3">
      <c r="B9" t="s">
        <v>78</v>
      </c>
      <c r="C9" s="232">
        <v>10</v>
      </c>
    </row>
    <row r="13" spans="1:3">
      <c r="A13" t="s">
        <v>72</v>
      </c>
      <c r="C13" s="229" t="s">
        <v>73</v>
      </c>
    </row>
    <row r="14" spans="1:3">
      <c r="B14" t="s">
        <v>79</v>
      </c>
      <c r="C14" s="233">
        <v>53.94736842105263</v>
      </c>
    </row>
    <row r="15" spans="1:3">
      <c r="B15" t="s">
        <v>80</v>
      </c>
      <c r="C15" s="233">
        <v>16.666666666666668</v>
      </c>
    </row>
    <row r="16" spans="1:3">
      <c r="B16" t="s">
        <v>74</v>
      </c>
      <c r="C16" s="233">
        <v>5.2631578947368425</v>
      </c>
    </row>
    <row r="17" spans="2:3">
      <c r="B17" t="s">
        <v>84</v>
      </c>
      <c r="C17" s="233">
        <v>24.12280701754386</v>
      </c>
    </row>
    <row r="18" spans="2:3">
      <c r="B18" s="229" t="s">
        <v>85</v>
      </c>
    </row>
    <row r="19" spans="2:3">
      <c r="B19" s="229" t="s">
        <v>81</v>
      </c>
    </row>
    <row r="20" spans="2:3">
      <c r="B20" s="229" t="s">
        <v>82</v>
      </c>
    </row>
    <row r="21" spans="2:3">
      <c r="B21" s="229" t="s">
        <v>83</v>
      </c>
    </row>
  </sheetData>
  <phoneticPr fontId="23" type="noConversion"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Title Page</vt:lpstr>
      <vt:lpstr>2010 ADTI</vt:lpstr>
      <vt:lpstr>2010 ADTI details</vt:lpstr>
      <vt:lpstr>2009 ADTI details</vt:lpstr>
      <vt:lpstr>ADTI Change 2010-2009</vt:lpstr>
      <vt:lpstr>Pillar Framework</vt:lpstr>
      <vt:lpstr>Experts Profiles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Phillipe</dc:creator>
  <cp:lastModifiedBy>christina heyniger</cp:lastModifiedBy>
  <dcterms:created xsi:type="dcterms:W3CDTF">2011-02-11T22:46:31Z</dcterms:created>
  <dcterms:modified xsi:type="dcterms:W3CDTF">2011-07-26T15:26:24Z</dcterms:modified>
</cp:coreProperties>
</file>